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ivotTables/pivotTable6.xml" ContentType="application/vnd.openxmlformats-officedocument.spreadsheetml.pivotTable+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nzgovt.sharepoint.com/sites/DENZ/SUPE/FINA/Reporting/"/>
    </mc:Choice>
  </mc:AlternateContent>
  <xr:revisionPtr revIDLastSave="78" documentId="8_{8ACE606B-FBCC-4EF9-9E6E-F5B4D68D7D36}" xr6:coauthVersionLast="47" xr6:coauthVersionMax="47" xr10:uidLastSave="{9B7FBBFA-8BE3-4B14-96B8-C6B99D84A838}"/>
  <bookViews>
    <workbookView xWindow="-120" yWindow="-120" windowWidth="29040" windowHeight="15720" tabRatio="883" firstSheet="6" activeTab="7" xr2:uid="{00000000-000D-0000-FFFF-FFFF00000000}"/>
  </bookViews>
  <sheets>
    <sheet name="Guidance for agencies" sheetId="5" state="hidden" r:id="rId1"/>
    <sheet name="Summary and sign-off" sheetId="13" state="hidden" r:id="rId2"/>
    <sheet name="Travel" sheetId="1" state="hidden" r:id="rId3"/>
    <sheet name="Hospitality" sheetId="2" state="hidden" r:id="rId4"/>
    <sheet name="All other expenses" sheetId="3" state="hidden" r:id="rId5"/>
    <sheet name="Gifts and benefits" sheetId="4" state="hidden" r:id="rId6"/>
    <sheet name="Guidance for agencies " sheetId="54" r:id="rId7"/>
    <sheet name="Summary and sign-off " sheetId="55" r:id="rId8"/>
    <sheet name="Travels" sheetId="56" r:id="rId9"/>
    <sheet name="Hospitality " sheetId="57" r:id="rId10"/>
    <sheet name="All other expenses " sheetId="58" r:id="rId11"/>
    <sheet name="Gifts and benefits " sheetId="59" r:id="rId12"/>
    <sheet name="Reconciliation Nov-Mar 20" sheetId="14" state="hidden" r:id="rId13"/>
    <sheet name="Reconciliation Apr-Jun 20" sheetId="61" state="hidden" r:id="rId14"/>
    <sheet name="GL Jul-Sep 20" sheetId="66" state="hidden" r:id="rId15"/>
    <sheet name="GL Apr-Jun 21" sheetId="85" state="hidden" r:id="rId16"/>
    <sheet name="GL Dec 20-Mar 21" sheetId="79" state="hidden" r:id="rId17"/>
    <sheet name="Orbit Dec 20-Mar 21" sheetId="81" state="hidden" r:id="rId18"/>
    <sheet name="P-Card Jul-Sep 20" sheetId="72" state="hidden" r:id="rId19"/>
    <sheet name="GL Apr-Jun 20" sheetId="60" state="hidden" r:id="rId20"/>
    <sheet name="GL Nov-Mar 20" sheetId="45" state="hidden" r:id="rId21"/>
    <sheet name="Accredo GL Jul-Oct 19" sheetId="33" state="hidden" r:id="rId22"/>
    <sheet name="Orbit May-Jun 19" sheetId="27" state="hidden" r:id="rId23"/>
    <sheet name="Orbit Jul-Oct 19" sheetId="34" state="hidden" r:id="rId24"/>
    <sheet name="Taxicharge Jul-Sep 19" sheetId="35" state="hidden" r:id="rId25"/>
    <sheet name="Vodafone Jul-Oct 19" sheetId="36" state="hidden" r:id="rId26"/>
    <sheet name="P-Card Jan-Apr 19" sheetId="21" state="hidden" r:id="rId27"/>
    <sheet name="Orbit Nov-Mar 20" sheetId="46" state="hidden" r:id="rId28"/>
    <sheet name="Taxicharge Nov-Mar 20" sheetId="47" state="hidden" r:id="rId29"/>
    <sheet name="P-Card Jul-Oct 19" sheetId="38" state="hidden" r:id="rId30"/>
    <sheet name="P-Card Oct-Mar 20" sheetId="49" state="hidden" r:id="rId31"/>
    <sheet name="Orbit April 20" sheetId="65" state="hidden" r:id="rId32"/>
    <sheet name="Taxicharge transaction Jul-Sep " sheetId="68" state="hidden" r:id="rId33"/>
    <sheet name="P-Card Mar-Jun 20" sheetId="64" state="hidden" r:id="rId34"/>
    <sheet name="Vodafone Nov-Mar 20" sheetId="51" state="hidden" r:id="rId35"/>
    <sheet name="Trip to AKL 4 Jul" sheetId="32" state="hidden" r:id="rId36"/>
    <sheet name="Trip to AKL 6 Aug" sheetId="40" state="hidden" r:id="rId37"/>
    <sheet name="Trip to AKL 25 Aug" sheetId="41" state="hidden" r:id="rId38"/>
    <sheet name="Trip to JPY 16 Sep" sheetId="42" state="hidden" r:id="rId39"/>
    <sheet name="Vodafone Apr-Jun 20" sheetId="63" state="hidden" r:id="rId40"/>
    <sheet name="Vodafone Jul 20" sheetId="69" state="hidden" r:id="rId41"/>
    <sheet name="Vodafone Aug 20" sheetId="70" state="hidden" r:id="rId42"/>
    <sheet name="Vodafone Sep 20" sheetId="71" state="hidden" r:id="rId43"/>
    <sheet name="Trip to AKL 18 Oct" sheetId="43" state="hidden" r:id="rId44"/>
    <sheet name="Trip to CGN 10 Jan" sheetId="44" state="hidden" r:id="rId45"/>
    <sheet name="GL Jul-Nov 21" sheetId="91" state="hidden" r:id="rId46"/>
    <sheet name="GL Dec-Feb 22" sheetId="97" state="hidden" r:id="rId47"/>
    <sheet name="GL Mar 22" sheetId="100" state="hidden" r:id="rId48"/>
    <sheet name="Orbit Jul-Nov 2021" sheetId="92" state="hidden" r:id="rId49"/>
    <sheet name="Orbit Dec-Mar 22" sheetId="98" state="hidden" r:id="rId50"/>
    <sheet name="P-Card Jul-Nov 21" sheetId="96" state="hidden" r:id="rId51"/>
    <sheet name="P-Card Dec-Mar 22" sheetId="99" state="hidden" r:id="rId52"/>
    <sheet name="P-Card Jul-Oct 22" sheetId="114" state="hidden" r:id="rId53"/>
    <sheet name="Vodafone Dec-Mar22" sheetId="84" state="hidden" r:id="rId54"/>
    <sheet name="Trip to AKL 11 Nov 20" sheetId="78" state="hidden" r:id="rId55"/>
    <sheet name="Trip to AKL 4 Mar 21" sheetId="82" state="hidden" r:id="rId56"/>
    <sheet name="Trip AKL 15 Sep 21" sheetId="94" state="hidden" r:id="rId57"/>
    <sheet name="Trip HLZ 9 Nov 21" sheetId="95" state="hidden" r:id="rId58"/>
    <sheet name="Trip to VAN 20 Mar" sheetId="53" state="hidden" r:id="rId59"/>
  </sheets>
  <definedNames>
    <definedName name="_xlnm._FilterDatabase" localSheetId="15" hidden="1">'GL Apr-Jun 21'!$A$13:$AB$204</definedName>
    <definedName name="_xlnm._FilterDatabase" localSheetId="16" hidden="1">'GL Dec 20-Mar 21'!$A$13:$AB$253</definedName>
    <definedName name="_xlnm._FilterDatabase" localSheetId="17" hidden="1">'Orbit Dec 20-Mar 21'!$A$1:$Q$21</definedName>
    <definedName name="_xlnm._FilterDatabase" localSheetId="26" hidden="1">'P-Card Jan-Apr 19'!$A$54:$Q$84</definedName>
    <definedName name="_xlnm._FilterDatabase" localSheetId="29" hidden="1">'P-Card Jul-Oct 19'!$A$4:$V$41</definedName>
    <definedName name="_xlnm._FilterDatabase" localSheetId="30" hidden="1">'P-Card Oct-Mar 20'!$A$4:$V$26</definedName>
    <definedName name="_xlnm._FilterDatabase" localSheetId="32" hidden="1">'Taxicharge transaction Jul-Sep '!$A$1:$R$40</definedName>
    <definedName name="_xlnm.Print_Area" localSheetId="4">'All other expenses'!$A$1:$E$22</definedName>
    <definedName name="_xlnm.Print_Area" localSheetId="10">'All other expenses '!$A$1:$E$24</definedName>
    <definedName name="_xlnm.Print_Area" localSheetId="5">'Gifts and benefits'!$A$1:$F$26</definedName>
    <definedName name="_xlnm.Print_Area" localSheetId="11">'Gifts and benefits '!$A$1:$F$28</definedName>
    <definedName name="_xlnm.Print_Area" localSheetId="0">'Guidance for agencies'!$A$1:$A$58</definedName>
    <definedName name="_xlnm.Print_Area" localSheetId="6">'Guidance for agencies '!$A$1:$A$58</definedName>
    <definedName name="_xlnm.Print_Area" localSheetId="3">Hospitality!$A$1:$E$21</definedName>
    <definedName name="_xlnm.Print_Area" localSheetId="9">'Hospitality '!$A$1:$E$28</definedName>
    <definedName name="_xlnm.Print_Area" localSheetId="1">'Summary and sign-off'!$A$1:$F$23</definedName>
    <definedName name="_xlnm.Print_Area" localSheetId="7">'Summary and sign-off '!$A$1:$F$23</definedName>
    <definedName name="_xlnm.Print_Area" localSheetId="2">Travel!$A$1:$E$50</definedName>
    <definedName name="_xlnm.Print_Area" localSheetId="8">Travels!$A$1:$E$105</definedName>
    <definedName name="_xlnm.Print_Titles" localSheetId="15">'GL Apr-Jun 21'!$1:$7</definedName>
    <definedName name="_xlnm.Print_Titles" localSheetId="16">'GL Dec 20-Mar 21'!$1:$7</definedName>
    <definedName name="_xlnm.Print_Titles" localSheetId="46">'GL Dec-Feb 22'!$1:$7</definedName>
    <definedName name="_xlnm.Print_Titles" localSheetId="45">'GL Jul-Nov 21'!$1:$7</definedName>
    <definedName name="_xlnm.Print_Titles" localSheetId="14">'GL Jul-Sep 20'!$1:$7</definedName>
    <definedName name="_xlnm.Print_Titles" localSheetId="47">'GL Mar 22'!$1:$7</definedName>
  </definedNames>
  <calcPr calcId="191028"/>
  <pivotCaches>
    <pivotCache cacheId="0" r:id="rId60"/>
    <pivotCache cacheId="1" r:id="rId61"/>
    <pivotCache cacheId="2" r:id="rId62"/>
    <pivotCache cacheId="3" r:id="rId63"/>
    <pivotCache cacheId="4" r:id="rId64"/>
    <pivotCache cacheId="5" r:id="rId6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56" l="1"/>
  <c r="B94" i="56"/>
  <c r="B4" i="56"/>
  <c r="C83" i="56" l="1"/>
  <c r="D56" i="55"/>
  <c r="C18" i="58"/>
  <c r="B83" i="56" l="1"/>
  <c r="C45" i="56" l="1"/>
  <c r="B45" i="56" l="1"/>
  <c r="B21" i="57"/>
  <c r="B12" i="55" s="1"/>
  <c r="B18" i="58"/>
  <c r="B17" i="55"/>
  <c r="D94" i="56"/>
  <c r="B16" i="55"/>
  <c r="B96" i="56" l="1"/>
  <c r="B15" i="55"/>
  <c r="B11" i="55" s="1"/>
  <c r="D60" i="55" l="1"/>
  <c r="B6" i="55" l="1"/>
  <c r="B60" i="55"/>
  <c r="B56" i="55"/>
  <c r="D59" i="55"/>
  <c r="B55" i="55"/>
  <c r="F60" i="55" l="1"/>
  <c r="D58" i="55"/>
  <c r="D55" i="55"/>
  <c r="D57" i="55"/>
  <c r="B58" i="55"/>
  <c r="B4" i="58"/>
  <c r="B57" i="55" l="1"/>
  <c r="B59" i="55" l="1"/>
  <c r="F11" i="55" l="1"/>
  <c r="B13" i="55" l="1"/>
  <c r="R9" i="114" l="1"/>
  <c r="R10" i="114"/>
  <c r="R11" i="114"/>
  <c r="R12" i="114"/>
  <c r="R13" i="114"/>
  <c r="R14" i="114"/>
  <c r="R15" i="114"/>
  <c r="R16" i="114"/>
  <c r="R17" i="114"/>
  <c r="R18" i="114"/>
  <c r="R19" i="114"/>
  <c r="R20" i="114"/>
  <c r="R21" i="114"/>
  <c r="R22" i="114"/>
  <c r="R2" i="114"/>
  <c r="R3" i="114"/>
  <c r="R4" i="114"/>
  <c r="R5" i="114"/>
  <c r="R6" i="114"/>
  <c r="R7" i="114"/>
  <c r="R8" i="114"/>
  <c r="R23" i="114" s="1"/>
  <c r="A22" i="114"/>
  <c r="A21" i="114"/>
  <c r="A20" i="114"/>
  <c r="A19" i="114"/>
  <c r="A18" i="114"/>
  <c r="A17" i="114"/>
  <c r="A16" i="114"/>
  <c r="A15" i="114"/>
  <c r="A14" i="114"/>
  <c r="A13" i="114"/>
  <c r="A12" i="114"/>
  <c r="A11" i="114"/>
  <c r="A10" i="114"/>
  <c r="A9" i="114"/>
  <c r="A8" i="114"/>
  <c r="A7" i="114"/>
  <c r="A6" i="114"/>
  <c r="A5" i="114"/>
  <c r="A4" i="114"/>
  <c r="A3" i="114"/>
  <c r="A2" i="114"/>
  <c r="B26" i="84" l="1"/>
  <c r="D47" i="95"/>
  <c r="D26" i="95"/>
  <c r="I25" i="98" l="1"/>
  <c r="B18" i="84" l="1"/>
  <c r="B12" i="84"/>
  <c r="B5" i="84"/>
  <c r="D26" i="94"/>
  <c r="L14" i="98"/>
  <c r="J8" i="98"/>
  <c r="D24" i="94"/>
  <c r="K3" i="96" l="1"/>
  <c r="K4" i="96"/>
  <c r="K5" i="96"/>
  <c r="K6" i="96"/>
  <c r="K7" i="96"/>
  <c r="K8" i="96"/>
  <c r="K9" i="96"/>
  <c r="K10" i="96"/>
  <c r="K2" i="96"/>
  <c r="E35" i="92"/>
  <c r="D25" i="95"/>
  <c r="D24" i="95"/>
  <c r="D25" i="94"/>
  <c r="D47" i="94" l="1"/>
  <c r="D47" i="82" l="1"/>
  <c r="D28" i="82" l="1"/>
  <c r="D25" i="82"/>
  <c r="D24" i="82"/>
  <c r="N112" i="81" l="1"/>
  <c r="D24" i="78"/>
  <c r="D43" i="78" l="1"/>
  <c r="A10" i="78" l="1"/>
  <c r="D2" i="71" l="1"/>
  <c r="D2" i="70"/>
  <c r="C2" i="69"/>
  <c r="D27" i="53" l="1"/>
  <c r="D26" i="53"/>
  <c r="D25" i="53"/>
  <c r="L7" i="65"/>
  <c r="J5" i="64" l="1"/>
  <c r="E35" i="61" s="1"/>
  <c r="F37" i="61"/>
  <c r="F35" i="61"/>
  <c r="I82" i="60"/>
  <c r="B37" i="61"/>
  <c r="B35" i="61"/>
  <c r="F20" i="61"/>
  <c r="E18" i="61"/>
  <c r="B20" i="61"/>
  <c r="B18" i="61"/>
  <c r="G44" i="63"/>
  <c r="G28" i="63"/>
  <c r="G12" i="63"/>
  <c r="E39" i="61" l="1"/>
  <c r="D39" i="61"/>
  <c r="C39" i="61"/>
  <c r="G38" i="61"/>
  <c r="H38" i="61" s="1"/>
  <c r="F39" i="61"/>
  <c r="G37" i="61"/>
  <c r="H37" i="61" s="1"/>
  <c r="G36" i="61"/>
  <c r="H36" i="61" s="1"/>
  <c r="G35" i="61"/>
  <c r="H35" i="61" s="1"/>
  <c r="B39" i="61"/>
  <c r="F29" i="61"/>
  <c r="E29" i="61"/>
  <c r="D29" i="61"/>
  <c r="C29" i="61"/>
  <c r="G28" i="61"/>
  <c r="H28" i="61" s="1"/>
  <c r="G27" i="61"/>
  <c r="H27" i="61" s="1"/>
  <c r="G26" i="61"/>
  <c r="F21" i="61"/>
  <c r="G20" i="61"/>
  <c r="H20" i="61" s="1"/>
  <c r="G19" i="61"/>
  <c r="H19" i="61" s="1"/>
  <c r="G18" i="61"/>
  <c r="H18" i="61" s="1"/>
  <c r="D21" i="61"/>
  <c r="G17" i="61"/>
  <c r="H17" i="61" s="1"/>
  <c r="E21" i="61"/>
  <c r="G16" i="61"/>
  <c r="H16" i="61" s="1"/>
  <c r="G15" i="61"/>
  <c r="H15" i="61" s="1"/>
  <c r="C21" i="61"/>
  <c r="G14" i="61"/>
  <c r="G21" i="61" l="1"/>
  <c r="H14" i="61"/>
  <c r="H21" i="61" s="1"/>
  <c r="G29" i="61"/>
  <c r="H26" i="61"/>
  <c r="H29" i="61" s="1"/>
  <c r="B21" i="61"/>
  <c r="B29" i="61"/>
  <c r="G34" i="61"/>
  <c r="C18" i="59"/>
  <c r="F13" i="55" s="1"/>
  <c r="D16" i="59"/>
  <c r="B2" i="59"/>
  <c r="B5" i="58"/>
  <c r="B3" i="58"/>
  <c r="B2" i="58"/>
  <c r="C21" i="57"/>
  <c r="B5" i="57"/>
  <c r="B4" i="57"/>
  <c r="B3" i="57"/>
  <c r="B2" i="57"/>
  <c r="B5" i="56"/>
  <c r="B3" i="56"/>
  <c r="B2" i="56"/>
  <c r="C13" i="55"/>
  <c r="C12" i="55"/>
  <c r="C11" i="55"/>
  <c r="C17" i="55" s="1"/>
  <c r="E53" i="61" l="1"/>
  <c r="F56" i="55"/>
  <c r="D83" i="56" s="1"/>
  <c r="E16" i="59"/>
  <c r="F12" i="55"/>
  <c r="F58" i="55"/>
  <c r="D21" i="57" s="1"/>
  <c r="F55" i="55"/>
  <c r="D45" i="56" s="1"/>
  <c r="F57" i="55"/>
  <c r="G39" i="61"/>
  <c r="H34" i="61"/>
  <c r="H39" i="61" s="1"/>
  <c r="E45" i="61" s="1"/>
  <c r="E44" i="61"/>
  <c r="C15" i="55"/>
  <c r="C16" i="55"/>
  <c r="B26" i="1"/>
  <c r="F22" i="1"/>
  <c r="G43" i="14"/>
  <c r="H20" i="14"/>
  <c r="B15" i="3"/>
  <c r="B14" i="3"/>
  <c r="B13" i="3"/>
  <c r="B12" i="3"/>
  <c r="B11" i="3"/>
  <c r="B36" i="1"/>
  <c r="B13" i="1"/>
  <c r="B12" i="1"/>
  <c r="D40" i="44"/>
  <c r="D37" i="53"/>
  <c r="B14" i="1" s="1"/>
  <c r="D28" i="44"/>
  <c r="D34" i="53"/>
  <c r="A10" i="53"/>
  <c r="B30" i="1"/>
  <c r="B29" i="1"/>
  <c r="B28" i="1"/>
  <c r="B27" i="1"/>
  <c r="B4" i="1"/>
  <c r="B25" i="1"/>
  <c r="B22" i="1"/>
  <c r="B21" i="1"/>
  <c r="B20" i="1"/>
  <c r="D44" i="43"/>
  <c r="E38" i="14"/>
  <c r="F37" i="14"/>
  <c r="G77" i="51"/>
  <c r="G58" i="51"/>
  <c r="G40" i="51"/>
  <c r="G25" i="51"/>
  <c r="G11" i="51"/>
  <c r="H36" i="14"/>
  <c r="G36" i="14"/>
  <c r="G35" i="14"/>
  <c r="H35" i="14" s="1"/>
  <c r="L152" i="45"/>
  <c r="L353" i="45" s="1"/>
  <c r="E20" i="14"/>
  <c r="E18" i="14"/>
  <c r="E16" i="14"/>
  <c r="D17" i="14"/>
  <c r="C19" i="14"/>
  <c r="C18" i="14"/>
  <c r="C15" i="14"/>
  <c r="C14" i="14"/>
  <c r="M31" i="46"/>
  <c r="N31" i="46"/>
  <c r="L31" i="46"/>
  <c r="M26" i="46"/>
  <c r="N26" i="46"/>
  <c r="L26" i="46"/>
  <c r="M19" i="46"/>
  <c r="N19" i="46"/>
  <c r="L19" i="46"/>
  <c r="M12" i="46"/>
  <c r="N12" i="46"/>
  <c r="L12" i="46"/>
  <c r="B37" i="14"/>
  <c r="B20" i="14"/>
  <c r="B19" i="14"/>
  <c r="B18" i="14"/>
  <c r="B17" i="14"/>
  <c r="B16" i="14"/>
  <c r="B15" i="14"/>
  <c r="B14" i="14"/>
  <c r="G14" i="14" s="1"/>
  <c r="H14" i="14" s="1"/>
  <c r="B36" i="14"/>
  <c r="B27" i="14"/>
  <c r="B26" i="14"/>
  <c r="B28" i="14"/>
  <c r="B35" i="14"/>
  <c r="B34" i="14"/>
  <c r="L347" i="45"/>
  <c r="L342" i="45"/>
  <c r="L336" i="45"/>
  <c r="L331" i="45"/>
  <c r="L322" i="45"/>
  <c r="L302" i="45"/>
  <c r="L238" i="45"/>
  <c r="L225" i="45"/>
  <c r="L219" i="45"/>
  <c r="L213" i="45"/>
  <c r="L190" i="45"/>
  <c r="L184" i="45"/>
  <c r="L175" i="45"/>
  <c r="L168" i="45"/>
  <c r="L156" i="45"/>
  <c r="L137" i="45"/>
  <c r="L112" i="45"/>
  <c r="L80" i="45"/>
  <c r="L34" i="45"/>
  <c r="L30" i="45"/>
  <c r="L22" i="45"/>
  <c r="L17" i="45"/>
  <c r="L13" i="45"/>
  <c r="L9" i="45"/>
  <c r="L49" i="45"/>
  <c r="I353" i="45"/>
  <c r="I350" i="45"/>
  <c r="J193" i="45"/>
  <c r="I193" i="45"/>
  <c r="B38" i="14"/>
  <c r="K4" i="47"/>
  <c r="L4" i="47"/>
  <c r="M4" i="47"/>
  <c r="N4" i="47"/>
  <c r="J4" i="47"/>
  <c r="J350" i="45"/>
  <c r="B31" i="1"/>
  <c r="D24" i="53"/>
  <c r="D23" i="53"/>
  <c r="E47" i="61" l="1"/>
  <c r="E55" i="61" s="1"/>
  <c r="E57" i="61" s="1"/>
  <c r="B24" i="1"/>
  <c r="G37" i="14"/>
  <c r="H37" i="14" s="1"/>
  <c r="B21" i="14"/>
  <c r="B39" i="14"/>
  <c r="B29" i="14"/>
  <c r="D36" i="40"/>
  <c r="E29" i="14"/>
  <c r="G115" i="34"/>
  <c r="D23" i="43"/>
  <c r="B15" i="1" l="1"/>
  <c r="D47" i="53"/>
  <c r="B23" i="1"/>
  <c r="A10" i="44"/>
  <c r="D24" i="44"/>
  <c r="D23" i="44"/>
  <c r="F15" i="1" l="1"/>
  <c r="B16" i="1"/>
  <c r="C32" i="1"/>
  <c r="F30" i="1"/>
  <c r="B32" i="1"/>
  <c r="D25" i="44"/>
  <c r="A10" i="43"/>
  <c r="D39" i="42"/>
  <c r="D43" i="42"/>
  <c r="D42" i="42"/>
  <c r="D34" i="42"/>
  <c r="D28" i="42"/>
  <c r="D27" i="42"/>
  <c r="D29" i="42"/>
  <c r="D30" i="42"/>
  <c r="D24" i="43"/>
  <c r="D27" i="43"/>
  <c r="D25" i="43" l="1"/>
  <c r="D31" i="42"/>
  <c r="D23" i="42"/>
  <c r="D24" i="42"/>
  <c r="A10" i="42" l="1"/>
  <c r="D45" i="41"/>
  <c r="D33" i="41"/>
  <c r="D32" i="41"/>
  <c r="D27" i="41"/>
  <c r="D26" i="41"/>
  <c r="A10" i="41"/>
  <c r="D30" i="40"/>
  <c r="D26" i="40"/>
  <c r="A10" i="40"/>
  <c r="D39" i="32"/>
  <c r="I209" i="33"/>
  <c r="H10" i="38"/>
  <c r="I10" i="38" s="1"/>
  <c r="D22" i="41"/>
  <c r="D22" i="40"/>
  <c r="D23" i="40"/>
  <c r="D32" i="32"/>
  <c r="D25" i="32"/>
  <c r="D22" i="32"/>
  <c r="D24" i="32"/>
  <c r="D47" i="41"/>
  <c r="D23" i="32"/>
  <c r="D23" i="41"/>
  <c r="D49" i="41" l="1"/>
  <c r="D26" i="32"/>
  <c r="D24" i="40"/>
  <c r="D24" i="41"/>
  <c r="D29" i="41"/>
  <c r="D34" i="41"/>
  <c r="D25" i="42"/>
  <c r="I262" i="33"/>
  <c r="I238" i="33"/>
  <c r="D47" i="32" l="1"/>
  <c r="D44" i="40"/>
  <c r="D48" i="42"/>
  <c r="D53" i="41"/>
  <c r="I122" i="33"/>
  <c r="C39" i="14"/>
  <c r="D39" i="14"/>
  <c r="G57" i="36"/>
  <c r="G38" i="36"/>
  <c r="G25" i="36"/>
  <c r="G11" i="36"/>
  <c r="E39" i="14"/>
  <c r="B16" i="3" l="1"/>
  <c r="F39" i="14"/>
  <c r="M89" i="34"/>
  <c r="N89" i="34"/>
  <c r="L89" i="34"/>
  <c r="M79" i="34"/>
  <c r="N79" i="34"/>
  <c r="L79" i="34"/>
  <c r="M69" i="34"/>
  <c r="N69" i="34"/>
  <c r="L69" i="34"/>
  <c r="M57" i="34"/>
  <c r="N57" i="34"/>
  <c r="L57" i="34"/>
  <c r="M47" i="34"/>
  <c r="N47" i="34"/>
  <c r="L47" i="34"/>
  <c r="M38" i="34"/>
  <c r="N38" i="34"/>
  <c r="L38" i="34"/>
  <c r="K8" i="35"/>
  <c r="L8" i="35"/>
  <c r="M8" i="35"/>
  <c r="J8" i="35"/>
  <c r="J311" i="33"/>
  <c r="I311" i="33"/>
  <c r="G28" i="14"/>
  <c r="H28" i="14" s="1"/>
  <c r="G34" i="14"/>
  <c r="H34" i="14" s="1"/>
  <c r="G27" i="14"/>
  <c r="H27" i="14" s="1"/>
  <c r="G26" i="14"/>
  <c r="G29" i="14" l="1"/>
  <c r="H26" i="14"/>
  <c r="H29" i="14" s="1"/>
  <c r="I313" i="33"/>
  <c r="G20" i="14"/>
  <c r="G19" i="14"/>
  <c r="H19" i="14" s="1"/>
  <c r="G18" i="14" l="1"/>
  <c r="H18" i="14" s="1"/>
  <c r="G17" i="14"/>
  <c r="H17" i="14" s="1"/>
  <c r="G16" i="14"/>
  <c r="H16" i="14" s="1"/>
  <c r="G15" i="14"/>
  <c r="H15" i="14" s="1"/>
  <c r="A10" i="32" l="1"/>
  <c r="F53" i="21"/>
  <c r="F82" i="21"/>
  <c r="B14" i="2" l="1"/>
  <c r="M45" i="27"/>
  <c r="N45" i="27"/>
  <c r="L45" i="27"/>
  <c r="M38" i="27"/>
  <c r="N38" i="27"/>
  <c r="L38" i="27"/>
  <c r="M32" i="27"/>
  <c r="N32" i="27"/>
  <c r="L32" i="27"/>
  <c r="M27" i="27"/>
  <c r="N27" i="27"/>
  <c r="L27" i="27"/>
  <c r="L49" i="27" s="1"/>
  <c r="M18" i="27"/>
  <c r="M49" i="27" s="1"/>
  <c r="N18" i="27"/>
  <c r="N49" i="27" s="1"/>
  <c r="L18" i="27"/>
  <c r="B39" i="1" l="1"/>
  <c r="B41" i="1" s="1"/>
  <c r="F38" i="21" l="1"/>
  <c r="E21" i="14" l="1"/>
  <c r="G38" i="14" l="1"/>
  <c r="H38" i="14" s="1"/>
  <c r="H39" i="14" s="1"/>
  <c r="F29" i="14"/>
  <c r="D29" i="14"/>
  <c r="C29" i="14"/>
  <c r="D21" i="14"/>
  <c r="H21" i="14" l="1"/>
  <c r="E45" i="14" s="1"/>
  <c r="E51" i="14" s="1"/>
  <c r="F21" i="14"/>
  <c r="C21" i="14"/>
  <c r="G39" i="14"/>
  <c r="E44" i="14" l="1"/>
  <c r="G21" i="14"/>
  <c r="E59" i="14" l="1"/>
  <c r="D15" i="4"/>
  <c r="C16" i="3"/>
  <c r="C14" i="2"/>
  <c r="C39" i="1"/>
  <c r="C16" i="1"/>
  <c r="B6" i="13" l="1"/>
  <c r="E59" i="13"/>
  <c r="C59" i="13"/>
  <c r="C17" i="4"/>
  <c r="C16" i="4"/>
  <c r="B59" i="13" l="1"/>
  <c r="B58" i="13"/>
  <c r="D58" i="13"/>
  <c r="B57" i="13"/>
  <c r="D57" i="13"/>
  <c r="D56" i="13"/>
  <c r="B56" i="13"/>
  <c r="D55" i="13"/>
  <c r="B55" i="13"/>
  <c r="D54" i="13"/>
  <c r="B54" i="13"/>
  <c r="B2" i="4"/>
  <c r="B3" i="4"/>
  <c r="B2" i="3"/>
  <c r="B3" i="3"/>
  <c r="B2" i="2"/>
  <c r="B3" i="2"/>
  <c r="B2" i="1"/>
  <c r="B3" i="1"/>
  <c r="F57" i="13" l="1"/>
  <c r="D14" i="2" s="1"/>
  <c r="F59" i="13"/>
  <c r="E15" i="4" s="1"/>
  <c r="F58" i="13"/>
  <c r="D16" i="3" s="1"/>
  <c r="F56" i="13"/>
  <c r="D39" i="1" s="1"/>
  <c r="F55" i="13"/>
  <c r="F54" i="13"/>
  <c r="D16" i="1" s="1"/>
  <c r="C13" i="13"/>
  <c r="C12" i="13"/>
  <c r="C11" i="13"/>
  <c r="C16" i="13" l="1"/>
  <c r="C17" i="13"/>
  <c r="B5" i="4" l="1"/>
  <c r="B4" i="4"/>
  <c r="B5" i="3"/>
  <c r="B4" i="3"/>
  <c r="B5" i="2"/>
  <c r="B4" i="2"/>
  <c r="B5" i="1"/>
  <c r="C15" i="13" l="1"/>
  <c r="F12" i="13" l="1"/>
  <c r="C15" i="4"/>
  <c r="F11" i="13" s="1"/>
  <c r="F13" i="13" l="1"/>
  <c r="B17" i="13"/>
  <c r="B16" i="13"/>
  <c r="B15" i="13"/>
  <c r="B13" i="13" l="1"/>
  <c r="B12" i="13"/>
  <c r="B11" i="13" l="1"/>
  <c r="E57" i="14" s="1"/>
  <c r="E61" i="14" s="1"/>
  <c r="F59" i="55"/>
  <c r="D1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E3A95B26-B63E-4FB1-B801-64A69BBFD320}">
      <text>
        <r>
          <rPr>
            <sz val="9"/>
            <color indexed="81"/>
            <rFont val="Tahoma"/>
            <family val="2"/>
          </rPr>
          <t xml:space="preserve">
Update link once finalised for new workbook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3ED8E099-D7DC-43B6-B3EC-1A67F51EDE2A}">
      <text>
        <r>
          <rPr>
            <sz val="9"/>
            <color indexed="81"/>
            <rFont val="Tahoma"/>
            <family val="2"/>
          </rPr>
          <t xml:space="preserve">
Insert additional rows as needed:
- 'right click' on a row number (left of screen)
- select 'Insert' (this will insert a row above it)
</t>
        </r>
      </text>
    </comment>
    <comment ref="A49" authorId="0" shapeId="0" xr:uid="{AAC5A704-C486-468D-90C0-9AE97EE3661A}">
      <text>
        <r>
          <rPr>
            <sz val="9"/>
            <color indexed="81"/>
            <rFont val="Tahoma"/>
            <family val="2"/>
          </rPr>
          <t xml:space="preserve">
Insert additional rows as needed:
- 'right click' on a row number (left of screen)
- select 'Insert' (this will insert a row above it)
</t>
        </r>
      </text>
    </comment>
    <comment ref="A86" authorId="0" shapeId="0" xr:uid="{6B81B506-BD62-49F4-B112-E9BC5970EE65}">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9E268E5-30EA-475B-9866-0A57087C5824}">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7D6DBD7-319E-484F-89A4-5263F11AC406}">
      <text>
        <r>
          <rPr>
            <sz val="9"/>
            <color indexed="81"/>
            <rFont val="Tahoma"/>
            <family val="2"/>
          </rPr>
          <t xml:space="preserve">
Insert additional rows as needed:
- 'right click' on a row number (left of screen)
- select 'Insert' (this will insert a row above it)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D7016177-DB29-4A3D-BCC0-2CD32DFAE5A1}">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<sst xmlns="http://schemas.openxmlformats.org/spreadsheetml/2006/main" count="14702" uniqueCount="2297">
  <si>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</si>
  <si>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</si>
  <si>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</si>
  <si>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</si>
  <si>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</si>
  <si>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</si>
  <si>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</si>
  <si>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</si>
  <si>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</si>
  <si>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</si>
  <si>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</si>
  <si>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</si>
  <si>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</si>
  <si>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</si>
  <si>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</si>
  <si>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</si>
  <si>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</si>
  <si>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</si>
  <si>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</si>
  <si>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</si>
  <si>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</si>
  <si>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</si>
  <si>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</si>
  <si>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</si>
  <si>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</si>
  <si>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</si>
  <si>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</si>
  <si>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</si>
  <si>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</si>
  <si>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</si>
  <si>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</si>
  <si>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</si>
  <si>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</si>
  <si>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</si>
  <si>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</si>
  <si>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</si>
  <si>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</si>
  <si>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</si>
  <si>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</si>
  <si>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</si>
  <si>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</si>
  <si>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</si>
  <si>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</si>
  <si>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</si>
  <si>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</si>
  <si>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</si>
  <si>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</si>
  <si>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</si>
  <si>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</si>
  <si>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</si>
  <si>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</si>
  <si>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</si>
  <si>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</si>
  <si>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Education New Zealand</t>
  </si>
  <si>
    <t>Chief Executive</t>
  </si>
  <si>
    <t>Grant McPherson</t>
  </si>
  <si>
    <t>Disclosure period start</t>
  </si>
  <si>
    <t>Disclosure period end</t>
  </si>
  <si>
    <t>Agency totals check</t>
  </si>
  <si>
    <t>Chief Executive approval</t>
  </si>
  <si>
    <t>This disclosure has been approved by the Chief Executive</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</si>
  <si>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</si>
  <si>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</si>
  <si>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</si>
  <si>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</si>
  <si>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</si>
  <si>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</si>
  <si>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</si>
  <si>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</si>
  <si>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</si>
  <si>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</si>
  <si>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</si>
  <si>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</si>
  <si>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</si>
  <si>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</si>
  <si>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</si>
  <si>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</si>
  <si>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</si>
  <si>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</si>
  <si>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</si>
  <si>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</si>
  <si>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</si>
  <si>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</si>
  <si>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</si>
  <si>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</si>
  <si>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</si>
  <si>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</si>
  <si>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</si>
  <si>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</si>
  <si>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</si>
  <si>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</si>
  <si>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</si>
  <si>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</si>
  <si>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</si>
  <si>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</si>
  <si>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</si>
  <si>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</si>
  <si>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</si>
  <si>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</si>
  <si>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</si>
  <si>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</si>
  <si>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</si>
  <si>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</si>
  <si>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</si>
  <si>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</si>
  <si>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</si>
  <si>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</si>
  <si>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</si>
  <si>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</si>
  <si>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</si>
  <si>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</si>
  <si>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</si>
  <si>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</si>
  <si>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</si>
  <si>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</si>
  <si>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</si>
  <si>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</si>
  <si>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Purpose of travel</t>
  </si>
  <si>
    <t>Type of expense</t>
  </si>
  <si>
    <t>Location(s)</t>
  </si>
  <si>
    <t>Subtotal per trip</t>
  </si>
  <si>
    <t>11 - 14 January 2020</t>
  </si>
  <si>
    <t>Accompanying the DAAD NZ delegation to Germany for 12 days</t>
  </si>
  <si>
    <t>Meals for 1 person</t>
  </si>
  <si>
    <t>Bonn</t>
  </si>
  <si>
    <t>Attending the APAIE 2020 Conference &amp; Exhibition</t>
  </si>
  <si>
    <t>Prepaid conference dinner for 1 person</t>
  </si>
  <si>
    <t>Vancouver</t>
  </si>
  <si>
    <t>Prepaid conference accommodation for 1 person</t>
  </si>
  <si>
    <t>Return airfares for 1 person</t>
  </si>
  <si>
    <t>Subtotal - international travel</t>
  </si>
  <si>
    <r>
      <t xml:space="preserve">Domestic Travel   </t>
    </r>
    <r>
      <rPr>
        <sz val="12"/>
        <color theme="0"/>
        <rFont val="Arial"/>
        <family val="2"/>
      </rPr>
      <t xml:space="preserve"> (within NZ, including travel to and from local airport)</t>
    </r>
  </si>
  <si>
    <t>Attending the NZ Story Board meeting in Auckland for 1 day</t>
  </si>
  <si>
    <t>Breakfast for 1 person</t>
  </si>
  <si>
    <t>Auckland</t>
  </si>
  <si>
    <t>Parking for 1 person</t>
  </si>
  <si>
    <t>Wellington airport parking for 1 person</t>
  </si>
  <si>
    <t>Wellington</t>
  </si>
  <si>
    <t>1 - 3 December 2019</t>
  </si>
  <si>
    <t>Return airfare for 1 person</t>
  </si>
  <si>
    <t>Wellington/Auckland</t>
  </si>
  <si>
    <t>Rental car for 1 person</t>
  </si>
  <si>
    <t>Breakfast and dinner for 1 person</t>
  </si>
  <si>
    <t>2 nights hotel and meals for 1 person</t>
  </si>
  <si>
    <t>Taxi from Wellington airport to home for 1 person</t>
  </si>
  <si>
    <t>Booking fee for 1 person</t>
  </si>
  <si>
    <t>Subtotal - domestic travel</t>
  </si>
  <si>
    <r>
      <t xml:space="preserve">Local Travel    </t>
    </r>
    <r>
      <rPr>
        <sz val="12"/>
        <color theme="0"/>
        <rFont val="Arial"/>
        <family val="2"/>
      </rPr>
      <t>(within City, excluding travel to airport)</t>
    </r>
  </si>
  <si>
    <t>Taxi for 1 person</t>
  </si>
  <si>
    <t>Taxicharges</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</si>
  <si>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</si>
  <si>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</si>
  <si>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</si>
  <si>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</si>
  <si>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</si>
  <si>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</si>
  <si>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</si>
  <si>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</si>
  <si>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</si>
  <si>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</si>
  <si>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</si>
  <si>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t>Purpose of hospitality</t>
  </si>
  <si>
    <t>No hospitality offered to the third parties</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</si>
  <si>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</si>
  <si>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</si>
  <si>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</si>
  <si>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</si>
  <si>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</si>
  <si>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</si>
  <si>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</si>
  <si>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t>Purpose of expense</t>
  </si>
  <si>
    <t>Vodafone cell phone charges November 2019</t>
  </si>
  <si>
    <t>Phone and data costs</t>
  </si>
  <si>
    <t>New Zealand</t>
  </si>
  <si>
    <t>Vodafone cell phone charges December 2019</t>
  </si>
  <si>
    <t>Vodafone cell phone charges January 2020</t>
  </si>
  <si>
    <t>New Zealand and overseas</t>
  </si>
  <si>
    <t>Vodafone cell phone charges February 2020</t>
  </si>
  <si>
    <t>Vodafone cell phone charges March 2020</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</si>
  <si>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</si>
  <si>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</si>
  <si>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</si>
  <si>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</si>
  <si>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</si>
  <si>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</si>
  <si>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Description</t>
  </si>
  <si>
    <t>Was the gift accepted?</t>
  </si>
  <si>
    <t xml:space="preserve">Offered by </t>
  </si>
  <si>
    <t>Estimated value in NZ$</t>
  </si>
  <si>
    <t>Other comments</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</si>
  <si>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</si>
  <si>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</si>
  <si>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</si>
  <si>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</si>
  <si>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</si>
  <si>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</si>
  <si>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</si>
  <si>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</si>
  <si>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</si>
  <si>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t>Acting Chief Executive</t>
  </si>
  <si>
    <t>Linda Sissons</t>
  </si>
  <si>
    <t>Other sign-off</t>
  </si>
  <si>
    <t>This summary page updates automatically from the 'Travel', 'Hospitality', 'All other expenses', and 'Gifts and benefits' tabs.
Throughout this workbook, input cells are shaded light green.</t>
  </si>
  <si>
    <t>Type here who else has approved this disclosure</t>
  </si>
  <si>
    <t>Acting Chief Executive Expense Disclosure</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</si>
  <si>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</si>
  <si>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</si>
  <si>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</si>
  <si>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</si>
  <si>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</si>
  <si>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r>
      <t xml:space="preserve">Type of expense
</t>
    </r>
    <r>
      <rPr>
        <sz val="10"/>
        <color theme="0"/>
        <rFont val="Arial"/>
        <family val="2"/>
      </rPr>
      <t>(e.g. taxi, parking, bus)</t>
    </r>
  </si>
  <si>
    <t>* Any non-standard date format or date outside 1 July - 30 June will raise an alert. Check entry and select 'Yes' to accept/continue.</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</si>
  <si>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</si>
  <si>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</si>
  <si>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Wellington </t>
  </si>
  <si>
    <t>** Any non-standard date format or date outside 1 July - 30 June will raise an alert. Check entry and select 'Yes' to accept/continue.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</si>
  <si>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</si>
  <si>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</si>
  <si>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Acting Chief Executive Gifts and Benefits Disclosure</t>
  </si>
  <si>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</si>
  <si>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</si>
  <si>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</si>
  <si>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color theme="2"/>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</si>
  <si>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</si>
  <si>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CE Expense GL Reconciliation</t>
  </si>
  <si>
    <t>Disclosure period:  01/11/2019 - 31/03/2020</t>
  </si>
  <si>
    <t>Report actual invoice approved and entered, and approved pcard. (i.e.: exclude accruals)</t>
  </si>
  <si>
    <t>Travel Expenses</t>
  </si>
  <si>
    <t>GL Code</t>
  </si>
  <si>
    <t>Accredo TB</t>
  </si>
  <si>
    <t>Orbit Invoice</t>
  </si>
  <si>
    <t>Taxi charge Invoice</t>
  </si>
  <si>
    <t>ENZ P-Card Statement</t>
  </si>
  <si>
    <t>Others (eg Exp Claim, Vodafone, etc.,)</t>
  </si>
  <si>
    <t>Variance</t>
  </si>
  <si>
    <t>Variance Breakdown</t>
  </si>
  <si>
    <t>Related to CE Report (Y/N)</t>
  </si>
  <si>
    <t>Comment</t>
  </si>
  <si>
    <t>3605.100</t>
  </si>
  <si>
    <t>N</t>
  </si>
  <si>
    <t>Travel fees for Ed Tuari</t>
  </si>
  <si>
    <t>3610.100</t>
  </si>
  <si>
    <t>Airfares for Ed Tuari</t>
  </si>
  <si>
    <t>3620.100</t>
  </si>
  <si>
    <t>Domestic travel costs for Ed Tuari</t>
  </si>
  <si>
    <t>3630.100</t>
  </si>
  <si>
    <t>Taxis for Ed Tuari &amp; Libby</t>
  </si>
  <si>
    <t>3635.100</t>
  </si>
  <si>
    <t>Parking for Ed Tuari</t>
  </si>
  <si>
    <t>3705.100</t>
  </si>
  <si>
    <t>Airfares for Ashby Julian</t>
  </si>
  <si>
    <t>3710.100</t>
  </si>
  <si>
    <t>Refund personal expense paid by ENZ P-Card</t>
  </si>
  <si>
    <t>Total</t>
  </si>
  <si>
    <t>***Insert additional codes as needed</t>
  </si>
  <si>
    <t>Hospitality Expenses</t>
  </si>
  <si>
    <t>Details</t>
  </si>
  <si>
    <t>3425.100</t>
  </si>
  <si>
    <t>Costs for Ed Tuari</t>
  </si>
  <si>
    <t>3435.100</t>
  </si>
  <si>
    <t>P-Card expenses for Greg, Ed and Fiona</t>
  </si>
  <si>
    <t>3340.100</t>
  </si>
  <si>
    <t>Food for meeting &amp; Xmas party</t>
  </si>
  <si>
    <t>Other Expenses</t>
  </si>
  <si>
    <t>3305.100</t>
  </si>
  <si>
    <t>SLT TMI session</t>
  </si>
  <si>
    <t>3315.100</t>
  </si>
  <si>
    <t>CA membership for Greg Scott</t>
  </si>
  <si>
    <t>3440.100</t>
  </si>
  <si>
    <t>NZTE branding materials</t>
  </si>
  <si>
    <t>3925.100</t>
  </si>
  <si>
    <t>Libby and Greg Scott's phone &amp; data</t>
  </si>
  <si>
    <t>4825.100</t>
  </si>
  <si>
    <t>Amount excl. GST</t>
  </si>
  <si>
    <t>GL trial balance from November 19 to March 20 (excl salaries &amp; annual leave):</t>
  </si>
  <si>
    <t>Less transactions are not related to the CE:</t>
  </si>
  <si>
    <t>Total costs to be disclosed from 1 November 2019 to 31 March 2020:</t>
  </si>
  <si>
    <t>Checking:</t>
  </si>
  <si>
    <t xml:space="preserve">CE's Report </t>
  </si>
  <si>
    <t>GL Trial Balance:</t>
  </si>
  <si>
    <t>Variance:</t>
  </si>
  <si>
    <t>Disclosure period:  01/04/2020 - 30/06/2020</t>
  </si>
  <si>
    <t>Cell phone charge for Libby's number</t>
  </si>
  <si>
    <t>GL trial balance from April 20 to June 20 (excl salaries &amp; annual leave):</t>
  </si>
  <si>
    <t>Total costs to be disclosed from 1 April 2020 to 30 June 2020:</t>
  </si>
  <si>
    <t>Transaction Detail</t>
  </si>
  <si>
    <t>7/10/2020 12:18 PM</t>
  </si>
  <si>
    <t>Period: 01/07/20..30/09/20</t>
  </si>
  <si>
    <t>Page</t>
  </si>
  <si>
    <t>EducationNZ</t>
  </si>
  <si>
    <t>EMILY.YAO</t>
  </si>
  <si>
    <t>All amounts are in NZD</t>
  </si>
  <si>
    <t>G/L Account: Date Filter: 01/07/20..30/09/20</t>
  </si>
  <si>
    <t/>
  </si>
  <si>
    <t>Posting Date</t>
  </si>
  <si>
    <t>Document Type</t>
  </si>
  <si>
    <t>Document No.</t>
  </si>
  <si>
    <t>Source Name</t>
  </si>
  <si>
    <t>Source Document Description</t>
  </si>
  <si>
    <t>Cost Centre</t>
  </si>
  <si>
    <t>Country Code</t>
  </si>
  <si>
    <t>Project Code</t>
  </si>
  <si>
    <t>Industry Code</t>
  </si>
  <si>
    <t>Channel Code</t>
  </si>
  <si>
    <t>GST Amount</t>
  </si>
  <si>
    <t>Amount</t>
  </si>
  <si>
    <t>Balance</t>
  </si>
  <si>
    <t>G/L Account No.</t>
  </si>
  <si>
    <t>3270</t>
  </si>
  <si>
    <t>Staff - Courses / Seminars</t>
  </si>
  <si>
    <t>31/07/20</t>
  </si>
  <si>
    <t>Invoice</t>
  </si>
  <si>
    <t>PPINV00090</t>
  </si>
  <si>
    <t>Leadership Team Coaching - Interviews</t>
  </si>
  <si>
    <t>Updraft</t>
  </si>
  <si>
    <t>Invoice PINV00097</t>
  </si>
  <si>
    <t>100-CEO</t>
  </si>
  <si>
    <t>WLG</t>
  </si>
  <si>
    <t>ADMN</t>
  </si>
  <si>
    <t>Leadership Team Coaching - Facilitation 8 July</t>
  </si>
  <si>
    <t>31/08/20</t>
  </si>
  <si>
    <t>PPINV00323</t>
  </si>
  <si>
    <t>6 month coaching relationship for CE</t>
  </si>
  <si>
    <t>Order PO00253</t>
  </si>
  <si>
    <t>30/09/20</t>
  </si>
  <si>
    <t xml:space="preserve"> </t>
  </si>
  <si>
    <t>G00573</t>
  </si>
  <si>
    <t>Accrual CE Te Reo Maori course fees</t>
  </si>
  <si>
    <t>3275</t>
  </si>
  <si>
    <t>Subscriptions - Professional Associations</t>
  </si>
  <si>
    <t>29/07/20</t>
  </si>
  <si>
    <t>EM-PEXP-10045</t>
  </si>
  <si>
    <t>GRANT.MCPHERSON - CA ANZ ANNUAL BILLING</t>
  </si>
  <si>
    <t>CE20</t>
  </si>
  <si>
    <t>Disclosed</t>
  </si>
  <si>
    <t>01/08/20</t>
  </si>
  <si>
    <t>EM-PEXP-10131</t>
  </si>
  <si>
    <t>GRANT.MCPHERSON - ECONOMIST SUBSCRIPTION</t>
  </si>
  <si>
    <t>3430</t>
  </si>
  <si>
    <t>Catering Expenses</t>
  </si>
  <si>
    <t>PPINV00192</t>
  </si>
  <si>
    <t>Catering expenses for board meeting</t>
  </si>
  <si>
    <t>Simply Food Catering Company</t>
  </si>
  <si>
    <t>Order PO00101</t>
  </si>
  <si>
    <t>3435</t>
  </si>
  <si>
    <t>Official Entertainment</t>
  </si>
  <si>
    <t>15/07/20</t>
  </si>
  <si>
    <t>EM-PEXP-10041</t>
  </si>
  <si>
    <t>GRANT.MCPHERSON - Lunch - Waikato university international strategy</t>
  </si>
  <si>
    <t>15/09/20</t>
  </si>
  <si>
    <t>EM-PEXP-10120</t>
  </si>
  <si>
    <t>ED.TUARI - Meeting re- Rautaki with Māori Lang Commission</t>
  </si>
  <si>
    <t>3475</t>
  </si>
  <si>
    <t>Koha</t>
  </si>
  <si>
    <t>17/09/20</t>
  </si>
  <si>
    <t>PPINV00474</t>
  </si>
  <si>
    <t>Koha Guest presenter for ENZ Māori Language Week</t>
  </si>
  <si>
    <t>TALULA PRONOTIONS LIMITED</t>
  </si>
  <si>
    <t>Invoice PINV00445</t>
  </si>
  <si>
    <t>PPINV00475</t>
  </si>
  <si>
    <t>Koha Guest presenter for ENZ Māori Language Week 2020</t>
  </si>
  <si>
    <t>Freedom</t>
  </si>
  <si>
    <t>Invoice PINV00442</t>
  </si>
  <si>
    <t>PPINV00476</t>
  </si>
  <si>
    <t>Heke Tapahia Eric</t>
  </si>
  <si>
    <t>Invoice PINV00441</t>
  </si>
  <si>
    <t>3485</t>
  </si>
  <si>
    <t>Public Relations</t>
  </si>
  <si>
    <t>01/07/20</t>
  </si>
  <si>
    <t>JNL1JULREV</t>
  </si>
  <si>
    <t>Colin McDiarmid Inv. 20/042 Photograph for ENZ team</t>
  </si>
  <si>
    <t>PPINV00043</t>
  </si>
  <si>
    <t>Provide a variety of individual images and group ahot of the ENZ Team</t>
  </si>
  <si>
    <t>Colin McDiarmid</t>
  </si>
  <si>
    <t>Order PO00023</t>
  </si>
  <si>
    <t>3520</t>
  </si>
  <si>
    <t>Branded Material &amp; Giveways</t>
  </si>
  <si>
    <t>27/08/20</t>
  </si>
  <si>
    <t>PPINV00222</t>
  </si>
  <si>
    <t>Karakia Animation</t>
  </si>
  <si>
    <t>Wrestler Limited</t>
  </si>
  <si>
    <t>Invoice PINV00226</t>
  </si>
  <si>
    <t>3605</t>
  </si>
  <si>
    <t>Travel Fees</t>
  </si>
  <si>
    <t>Apie Vancouver 2020 43910</t>
  </si>
  <si>
    <t>NA</t>
  </si>
  <si>
    <t>3620</t>
  </si>
  <si>
    <t>Domestic Travel - Accommodation &amp; Meals</t>
  </si>
  <si>
    <t>21/07/20</t>
  </si>
  <si>
    <t>EM-PEXP-10004</t>
  </si>
  <si>
    <t>ED.TUARI - Ed in Wellington for ENZ Board Meeting</t>
  </si>
  <si>
    <t>EM-PEXP-10005</t>
  </si>
  <si>
    <t>EM-PEXP-10121</t>
  </si>
  <si>
    <t>ED.TUARI - Māori Language Week - Ed dinner</t>
  </si>
  <si>
    <t>EM-PEXP-10139</t>
  </si>
  <si>
    <t>ED.TUARI - Rautaki Māori. Ed dinner in WLG</t>
  </si>
  <si>
    <t>EM-PEXP-10211</t>
  </si>
  <si>
    <t>ED.TUARI - Rautaki Māori - Ed lunch (Māori Language Week)</t>
  </si>
  <si>
    <t>3630</t>
  </si>
  <si>
    <t>Taxis</t>
  </si>
  <si>
    <t>PPINV00435</t>
  </si>
  <si>
    <t>Taxis Ed Tuari</t>
  </si>
  <si>
    <t>Taxicharge NZ Ltd</t>
  </si>
  <si>
    <t>Invoice PINV00411</t>
  </si>
  <si>
    <t>20/08/20</t>
  </si>
  <si>
    <t>PPINV00206</t>
  </si>
  <si>
    <t>Shruthi Vijayakumar</t>
  </si>
  <si>
    <t>Invoice PINV00158</t>
  </si>
  <si>
    <t>18/09/20</t>
  </si>
  <si>
    <t>EM-PEXP-10138</t>
  </si>
  <si>
    <t>ED.TUARI - Taxi from AKL Airport - Home</t>
  </si>
  <si>
    <t>AKL</t>
  </si>
  <si>
    <t>EM-PEXP-10140</t>
  </si>
  <si>
    <t>ED.TUARI - Rautaki Māori - ENZ Office to WLG airport</t>
  </si>
  <si>
    <t>3635</t>
  </si>
  <si>
    <t>Rental Car</t>
  </si>
  <si>
    <t>08/07/20</t>
  </si>
  <si>
    <t>EM-PEXP-10043</t>
  </si>
  <si>
    <t>GRANT.MCPHERSON - MUSEUM OF NZ TE PAPA</t>
  </si>
  <si>
    <t>09/07/20</t>
  </si>
  <si>
    <t>EM-PEXP-10044</t>
  </si>
  <si>
    <t>Rental Car Guest presenter for ENZ Māori Language Week</t>
  </si>
  <si>
    <t>Rental Car Guest presenter for ENZ Māori Language Week 2020</t>
  </si>
  <si>
    <t>3705</t>
  </si>
  <si>
    <t>International Travel - Air Fares</t>
  </si>
  <si>
    <t>4225</t>
  </si>
  <si>
    <t>Printing &amp; Publications - Outsourced</t>
  </si>
  <si>
    <t>13/07/20</t>
  </si>
  <si>
    <t>PPINV00017</t>
  </si>
  <si>
    <t>New brand business card - CE's Office</t>
  </si>
  <si>
    <t>Fisherprint</t>
  </si>
  <si>
    <t>Order PO00016</t>
  </si>
  <si>
    <t>4710</t>
  </si>
  <si>
    <t>Professional Fees</t>
  </si>
  <si>
    <t>PPINV00342</t>
  </si>
  <si>
    <t>Leadership team coaching, interviews</t>
  </si>
  <si>
    <t>Order PO00272</t>
  </si>
  <si>
    <t>4750</t>
  </si>
  <si>
    <t>Other Contracts</t>
  </si>
  <si>
    <t>Accrue Fisherprint inv 440478</t>
  </si>
  <si>
    <t>4825</t>
  </si>
  <si>
    <t>Conf.&amp; Meetings Attendance</t>
  </si>
  <si>
    <t>PPINV00113</t>
  </si>
  <si>
    <t xml:space="preserve">Conference room hire </t>
  </si>
  <si>
    <t>Te Papa Tongarewa</t>
  </si>
  <si>
    <t>Order PO00103</t>
  </si>
  <si>
    <t>5/07/2021 11:37 AM</t>
  </si>
  <si>
    <t>Period: 01/04/21..30/06/21</t>
  </si>
  <si>
    <t>G/L Account: Date Filter: 01/04/21..30/06/21</t>
  </si>
  <si>
    <t>3265</t>
  </si>
  <si>
    <t>Recruitment Costs</t>
  </si>
  <si>
    <t>25/06/21</t>
  </si>
  <si>
    <t>PPINV02380</t>
  </si>
  <si>
    <t>Korn Ferry HayGroup</t>
  </si>
  <si>
    <t>Invoice PINV02130</t>
  </si>
  <si>
    <t>01/04/21</t>
  </si>
  <si>
    <t>PPINV01716</t>
  </si>
  <si>
    <t>Invoice PINV01569</t>
  </si>
  <si>
    <t>Leadership Team Coaching - Team Development workshop</t>
  </si>
  <si>
    <t>G00976</t>
  </si>
  <si>
    <t>Accrue Leadership team coaching</t>
  </si>
  <si>
    <t>08/06/21</t>
  </si>
  <si>
    <t>PPINV02135</t>
  </si>
  <si>
    <t>Registration of 1 Delegate on TQ025A Training course</t>
  </si>
  <si>
    <t>Conferenz Limited</t>
  </si>
  <si>
    <t>Invoice PINV01954</t>
  </si>
  <si>
    <t>Karim</t>
  </si>
  <si>
    <t>01/06/21</t>
  </si>
  <si>
    <t>PPINV02133</t>
  </si>
  <si>
    <t>DirectorSearch membership Annual subscription commencing 1 May 2021</t>
  </si>
  <si>
    <t>Institute of Directors of NZ Inc</t>
  </si>
  <si>
    <t>Invoice PINV01947</t>
  </si>
  <si>
    <t>Membership subscription</t>
  </si>
  <si>
    <t>ü</t>
  </si>
  <si>
    <t>PPINV02134</t>
  </si>
  <si>
    <t>2021/2022 Annual Subscription Ordinary Member</t>
  </si>
  <si>
    <t>The Wellington Club</t>
  </si>
  <si>
    <t>Invoice PINV01950</t>
  </si>
  <si>
    <t>29/06/21</t>
  </si>
  <si>
    <t>PPINV02421</t>
  </si>
  <si>
    <t>Vogel paper bag lunch meeting 29/06/21</t>
  </si>
  <si>
    <t>Sir Breadwins</t>
  </si>
  <si>
    <t>Invoice PINV02178</t>
  </si>
  <si>
    <t>PPINV01731</t>
  </si>
  <si>
    <t>Beverages purchased at meeting with Waikato University reps</t>
  </si>
  <si>
    <t>Invoice PINV01574</t>
  </si>
  <si>
    <t>Hospitality 25/03/2021 wine 250ml x  5 for 3 people</t>
  </si>
  <si>
    <t>Accrue Orbit Mar-21 Mcpherson Grant</t>
  </si>
  <si>
    <t>Accrue Orbit Mar-21 Tuari Edward Hector</t>
  </si>
  <si>
    <t>30/04/21</t>
  </si>
  <si>
    <t>G01054</t>
  </si>
  <si>
    <t>Accrue Orbit Travel Apr-21 Tuari Edward Hector</t>
  </si>
  <si>
    <t>Accrue Orbit Travel Apr-21 Mcpherson Grant</t>
  </si>
  <si>
    <t>CHCH</t>
  </si>
  <si>
    <t>01/05/21</t>
  </si>
  <si>
    <t>G01055</t>
  </si>
  <si>
    <t>31/05/21</t>
  </si>
  <si>
    <t>G01133</t>
  </si>
  <si>
    <t>Accrue Orbit Travel May 2021 - Mcpherson Grant</t>
  </si>
  <si>
    <t>Accrue Orbit Travel May 2021 - Tuari Edward Hector</t>
  </si>
  <si>
    <t>G01134</t>
  </si>
  <si>
    <t>3610</t>
  </si>
  <si>
    <t>Domestic Travel - Air Fares</t>
  </si>
  <si>
    <t>PPINV01793</t>
  </si>
  <si>
    <t>Air Fares Tuari Edward Pan Education WLG 30Mar21</t>
  </si>
  <si>
    <t>Orbit World Travel Wellington</t>
  </si>
  <si>
    <t>Invoice PINV01640</t>
  </si>
  <si>
    <t>Air Fares Mcpherson Grant Meet With Provi DUD 26Mar21</t>
  </si>
  <si>
    <t>Accrue Orbit Travel Apr-21 Tuari Edward</t>
  </si>
  <si>
    <t>PPINV01934</t>
  </si>
  <si>
    <t>Air Fares Mcpherson Grant To Attend Nz St NPE 29Apr21</t>
  </si>
  <si>
    <t>Invoice PINV01769</t>
  </si>
  <si>
    <t>Air Fares Tuari Edward Hector Attend Rautaki WLG 05May21</t>
  </si>
  <si>
    <t>Air Fares Tuari Edward Attend External WLG 03Mar21</t>
  </si>
  <si>
    <t>Air Fares Tuari Edward Rautaki Maori WLG 15Dec20</t>
  </si>
  <si>
    <t>EM-PEXP-11358</t>
  </si>
  <si>
    <t>ED.TUARI - GOLDEN GIRL CHINESE</t>
  </si>
  <si>
    <t>EM-PEXP-11361</t>
  </si>
  <si>
    <t>EM-PEXP-11362</t>
  </si>
  <si>
    <t>ED.TUARI - MOJO TAHI</t>
  </si>
  <si>
    <t>Dom.Travel - Accomm Tuari Edward Wlg 24Mar21</t>
  </si>
  <si>
    <t>EM-PEXP-11396</t>
  </si>
  <si>
    <t>GRANT.MCPHERSON - Taxis from airport home after work trip</t>
  </si>
  <si>
    <t>Trip to Dunedin</t>
  </si>
  <si>
    <t>EM-PEXP-11397</t>
  </si>
  <si>
    <t>GRANT.MCPHERSON - Lunch meeting with ENZ Board Chair</t>
  </si>
  <si>
    <t>Not disclosure - hospitality provided to ENZ Board Chair</t>
  </si>
  <si>
    <t>EM-PEXP-11398</t>
  </si>
  <si>
    <t>GRANT.MCPHERSON - Coffee meeting Jason Cushen, Otago University</t>
  </si>
  <si>
    <t>Hospitality 29/03/2021 Dunedin</t>
  </si>
  <si>
    <t>EM-PEXP-11399</t>
  </si>
  <si>
    <t>GRANT.MCPHERSON - Breakfast meeting Jason Cushen University Otago</t>
  </si>
  <si>
    <t>EM-PEXP-11400</t>
  </si>
  <si>
    <t>GRANT.MCPHERSON - Lunch on visit to Otago Polytechnic</t>
  </si>
  <si>
    <t>EM-PEXP-11401</t>
  </si>
  <si>
    <t xml:space="preserve">GRANT.MCPHERSON - Breakfast meeting with Greg Scott, UC Director </t>
  </si>
  <si>
    <t>Hospitality 31/03/2021 ChCh</t>
  </si>
  <si>
    <t>EM-PEXP-11402</t>
  </si>
  <si>
    <t>GRANT.MCPHERSON - Andy Walker and Grant coffee meeting</t>
  </si>
  <si>
    <t>Trip to Chch</t>
  </si>
  <si>
    <t>EM-PEXP-11403</t>
  </si>
  <si>
    <t>GRANT.MCPHERSON - Grant dinner while travelling</t>
  </si>
  <si>
    <t>EM-PEXP-11425</t>
  </si>
  <si>
    <t>ED.TUARI - MR BUN TAYLOR STREET</t>
  </si>
  <si>
    <t>EM-PEXP-11426</t>
  </si>
  <si>
    <t>ED.TUARI - BASQUE</t>
  </si>
  <si>
    <t>EM-PEXP-11431</t>
  </si>
  <si>
    <t>EM-PEXP-11432</t>
  </si>
  <si>
    <t>Accommodation Tuari Edward Hector  Pan Education WLG 30Mar21</t>
  </si>
  <si>
    <t>05/05/21</t>
  </si>
  <si>
    <t>EM-PEXP-11628</t>
  </si>
  <si>
    <t>ED.TUARI - Wishbone Stout Street</t>
  </si>
  <si>
    <t>EM-PEXP-11631</t>
  </si>
  <si>
    <t>07/05/21</t>
  </si>
  <si>
    <t>EM-PEXP-11632</t>
  </si>
  <si>
    <t>EM-PEXP-11793</t>
  </si>
  <si>
    <t>GRANT.MCPHERSON - Breakfast prior NZStory meeting</t>
  </si>
  <si>
    <t>Trip to NPE</t>
  </si>
  <si>
    <t>EM-PEXP-11794</t>
  </si>
  <si>
    <t>GRANT.MCPHERSON - Craig Musson meeting (Chair, ITENZ Independent Tertiary Education NZ)</t>
  </si>
  <si>
    <t>Hospitality 11/05/2021 Mojo Wellington</t>
  </si>
  <si>
    <t>EM-PEXP-11796</t>
  </si>
  <si>
    <t>GRANT.MCPHERSON - Dinner Auckland trip</t>
  </si>
  <si>
    <t>Trip to AKL</t>
  </si>
  <si>
    <t>EM-PEXP-11797</t>
  </si>
  <si>
    <t>GRANT.MCPHERSON - Lunch meeting with TNZ CEO</t>
  </si>
  <si>
    <t>EM-PEXP-11798</t>
  </si>
  <si>
    <t>GRANT.MCPHERSON - Auckland car parking</t>
  </si>
  <si>
    <t>EM-PEXP-11799</t>
  </si>
  <si>
    <t>GRANT.MCPHERSON - Breakfast Auckland trip</t>
  </si>
  <si>
    <t>EM-PEXP-11800</t>
  </si>
  <si>
    <t>ED.TUARI - Ed -Lunch</t>
  </si>
  <si>
    <t>EM-PEXP-11844</t>
  </si>
  <si>
    <t>GRANT.MCPHERSON - Coffee meeting Murray Jack external consultant</t>
  </si>
  <si>
    <t>Hospitality 13/05/2021 The Lab Wellington</t>
  </si>
  <si>
    <t>EM-PEXP-12033</t>
  </si>
  <si>
    <t>GRANT.MCPHERSON - Accommodation while in Christchurch for meetings</t>
  </si>
  <si>
    <t>Trip to CHCH</t>
  </si>
  <si>
    <t>21/06/21</t>
  </si>
  <si>
    <t>EM-PEXP-12031</t>
  </si>
  <si>
    <t>GRANT.MCPHERSON - Dinner while in Auckland for work</t>
  </si>
  <si>
    <t>22/06/21</t>
  </si>
  <si>
    <t>EM-PEXP-12029</t>
  </si>
  <si>
    <t>GRANT.MCPHERSON - Breakfast in Auckland for work visit</t>
  </si>
  <si>
    <t>23/06/21</t>
  </si>
  <si>
    <t>EM-PEXP-12058</t>
  </si>
  <si>
    <t>ED.TUARI - Litte Panang- The Terrace</t>
  </si>
  <si>
    <t>EM-PEXP-12028</t>
  </si>
  <si>
    <t>GRANT.MCPHERSON - Lunch while in Auckland for work</t>
  </si>
  <si>
    <t>3625</t>
  </si>
  <si>
    <t>Domestic Travel - Other Expesnes</t>
  </si>
  <si>
    <t>Other Expesnes Tuari Edward Pan Education WLG 30Mar21</t>
  </si>
  <si>
    <t>Other Fee Mcpherson Grant Meet With Provi DUD 26Mar21</t>
  </si>
  <si>
    <t>Tuari Edward Amendment Fee -Domestic</t>
  </si>
  <si>
    <t>Other Expesnes Mcpherson Grant To Attend Nz St NPE 29Apr21</t>
  </si>
  <si>
    <t>Other Expesnes Tuari Edward Hector  Pan Education WLG 30Mar21</t>
  </si>
  <si>
    <t>Other Expesnes Mcpherson Grant Meet With Provi DUD 26Mar21</t>
  </si>
  <si>
    <t>Other Expesnes Tuari Edward Rautaki Maori WLG 15Dec20</t>
  </si>
  <si>
    <t>EM-PEXP-11359</t>
  </si>
  <si>
    <t>ED.TUARI - Auckland Co OP Taxis</t>
  </si>
  <si>
    <t>EM-PEXP-11360</t>
  </si>
  <si>
    <t>ED.TUARI - Wgtn Combined Taxis</t>
  </si>
  <si>
    <t>EM-PEXP-11370</t>
  </si>
  <si>
    <t>GRANT.MCPHERSON - Taxis for four people to Lifeswap premiere</t>
  </si>
  <si>
    <t>Taxi Wellington</t>
  </si>
  <si>
    <t>EM-PEXP-11424</t>
  </si>
  <si>
    <t>EM-PEXP-11428</t>
  </si>
  <si>
    <t>ED.TUARI - UBER   *TRIP - Ed to WLG</t>
  </si>
  <si>
    <t>EM-PEXP-11429</t>
  </si>
  <si>
    <t>ED.TUARI - UBER   *TRIP</t>
  </si>
  <si>
    <t>EM-PEXP-11430</t>
  </si>
  <si>
    <t>EM-PEXP-11433</t>
  </si>
  <si>
    <t>EM-PEXP-11434</t>
  </si>
  <si>
    <t>EM-PEXP-11436</t>
  </si>
  <si>
    <t>ED.TUARI - CAPITAL TAXIS</t>
  </si>
  <si>
    <t>EM-PEXP-11437</t>
  </si>
  <si>
    <t>EM-PEXP-11439</t>
  </si>
  <si>
    <t>EM-PEXP-11440</t>
  </si>
  <si>
    <t>EM-PEXP-11443</t>
  </si>
  <si>
    <t>EM-PEXP-11444</t>
  </si>
  <si>
    <t>04/05/21</t>
  </si>
  <si>
    <t>EM-PEXP-11630</t>
  </si>
  <si>
    <t>EM-PEXP-11629</t>
  </si>
  <si>
    <t>ED.TUARI - Hutt &amp; City Taxis</t>
  </si>
  <si>
    <t>EM-PEXP-11633</t>
  </si>
  <si>
    <t>EM-PEXP-11634</t>
  </si>
  <si>
    <t>EM-PEXP-11795</t>
  </si>
  <si>
    <t>GRANT.MCPHERSON - Taxis from CBD to airport</t>
  </si>
  <si>
    <t>EM-PEXP-11801</t>
  </si>
  <si>
    <t>EM-PEXP-11802</t>
  </si>
  <si>
    <t>EM-PEXP-11803</t>
  </si>
  <si>
    <t>EM-PEXP-12001</t>
  </si>
  <si>
    <t>EM-PEXP-12002</t>
  </si>
  <si>
    <t>04/06/21</t>
  </si>
  <si>
    <t>EM-PEXP-11983</t>
  </si>
  <si>
    <t>EM-PEXP-11984</t>
  </si>
  <si>
    <t>EM-PEXP-12032</t>
  </si>
  <si>
    <t>GRANT.MCPHERSON - Taxi to airport for Auckland visit</t>
  </si>
  <si>
    <t>EM-PEXP-12030</t>
  </si>
  <si>
    <t>GRANT.MCPHERSON - Return taxi from Wellington airport</t>
  </si>
  <si>
    <t>EM-PEXP-12060</t>
  </si>
  <si>
    <t>EM-PEXP-11992</t>
  </si>
  <si>
    <t>24/06/21</t>
  </si>
  <si>
    <t>EM-PEXP-12059</t>
  </si>
  <si>
    <t>EM-PEXP-12131</t>
  </si>
  <si>
    <t>EM-PEXP-12128</t>
  </si>
  <si>
    <t>ED.TUARI - UBER   *TRIP-REIMBURSEMENT</t>
  </si>
  <si>
    <t>EM-PEXP-12129</t>
  </si>
  <si>
    <t>Rental Car Mcpherson Grant Meet With Provi DUD 26Mar21</t>
  </si>
  <si>
    <t>EM-PEXP-11792</t>
  </si>
  <si>
    <t>GRANT.MCPHERSON - Airport parking NZStory board meeting</t>
  </si>
  <si>
    <t>EM-PEXP-12114</t>
  </si>
  <si>
    <t>GRANT.MCPHERSON - Akld parking for EnglishNZ meeting</t>
  </si>
  <si>
    <t>EM-PEXP-12115</t>
  </si>
  <si>
    <t>GRANT.MCPHERSON - Wgtn airport parking while away for work</t>
  </si>
  <si>
    <t>EM-PEXP-12116</t>
  </si>
  <si>
    <t>GRANT.MCPHERSON - Akld car parking for NZStory meeting</t>
  </si>
  <si>
    <t>4255</t>
  </si>
  <si>
    <t>Photocopiers - Lease, Copies</t>
  </si>
  <si>
    <t>EM-PEXP-11368</t>
  </si>
  <si>
    <t>GRANT.MCPHERSON - Sydney Morning Herald subscription</t>
  </si>
  <si>
    <t>Newspaper subscription</t>
  </si>
  <si>
    <t>4260</t>
  </si>
  <si>
    <t>Catering - Internal Meetings</t>
  </si>
  <si>
    <t>EM-PEXP-11369</t>
  </si>
  <si>
    <t>GRANT.MCPHERSON - Coffee meeting with Chris Whelan (Executive Director Universities NZ)</t>
  </si>
  <si>
    <t>Hospitality 24/03/2021 Mojo Wellington</t>
  </si>
  <si>
    <t>14/04/21</t>
  </si>
  <si>
    <t>PPINV01790</t>
  </si>
  <si>
    <t>Lunch at all day SLT meeting</t>
  </si>
  <si>
    <t>Invoice PINV01630</t>
  </si>
  <si>
    <t>22/04/21</t>
  </si>
  <si>
    <t>PPINV01851</t>
  </si>
  <si>
    <t>SLT and managers at 22 April Board meeting</t>
  </si>
  <si>
    <t>IN HOUSE CATERING 2017 LIMITED</t>
  </si>
  <si>
    <t>Invoice PINV01700</t>
  </si>
  <si>
    <t>29/04/21</t>
  </si>
  <si>
    <t>PPINV01852</t>
  </si>
  <si>
    <t>SLT working lunch during meeting on Business Plan themes</t>
  </si>
  <si>
    <t>Invoice PINV01680</t>
  </si>
  <si>
    <t>PPINV01893</t>
  </si>
  <si>
    <t>Working lunch for meeting with operational managers</t>
  </si>
  <si>
    <t>Invoice PINV01737</t>
  </si>
  <si>
    <t>12/05/21</t>
  </si>
  <si>
    <t>PPINV01962</t>
  </si>
  <si>
    <t>Vogel paper bag lunch SLT Meeting</t>
  </si>
  <si>
    <t>Invoice PINV01778</t>
  </si>
  <si>
    <t>18/05/21</t>
  </si>
  <si>
    <t>PPINV01960</t>
  </si>
  <si>
    <t>Vogel paper bag lunch Business Planning session with Operational managers</t>
  </si>
  <si>
    <t>Invoice PINV01797</t>
  </si>
  <si>
    <t>PPINV02418</t>
  </si>
  <si>
    <t>Reason: Cancellation charge for Board meeting order</t>
  </si>
  <si>
    <t>Invoice PINV02163</t>
  </si>
  <si>
    <t>27/06/21</t>
  </si>
  <si>
    <t>PPINV02381</t>
  </si>
  <si>
    <t>Morning Tea-24.06.21 for Board meeting</t>
  </si>
  <si>
    <t>Invoice PINV02137</t>
  </si>
  <si>
    <t>7/04/2021 4:03 PM</t>
  </si>
  <si>
    <t>Period: 01/12/20..31/03/21</t>
  </si>
  <si>
    <t>G/L Account: Date Filter: 01/12/20..31/03/21</t>
  </si>
  <si>
    <t>3105</t>
  </si>
  <si>
    <t>Salaries</t>
  </si>
  <si>
    <t>01/12/20</t>
  </si>
  <si>
    <t>G00669</t>
  </si>
  <si>
    <t>Reverse Salaries accruals 26-30 Nov 2020</t>
  </si>
  <si>
    <t>G00673</t>
  </si>
  <si>
    <t>Reverse CE Bonus Accrual for November 2020</t>
  </si>
  <si>
    <t>09/12/20</t>
  </si>
  <si>
    <t>G00792</t>
  </si>
  <si>
    <t>Salaries PE 09/12/2020</t>
  </si>
  <si>
    <t>23/12/20</t>
  </si>
  <si>
    <t>G00793</t>
  </si>
  <si>
    <t>Salaries PE 023/12/2020</t>
  </si>
  <si>
    <t>31/12/20</t>
  </si>
  <si>
    <t>G00794</t>
  </si>
  <si>
    <t>Salaries accruals 24-31 Dec 2020, 5 working days</t>
  </si>
  <si>
    <t>G00798</t>
  </si>
  <si>
    <t>CE Bonus Accrual for December 2020</t>
  </si>
  <si>
    <t>01/01/21</t>
  </si>
  <si>
    <t>G00795</t>
  </si>
  <si>
    <t>Reverse Salaries accruals 24-31 Dec 2020</t>
  </si>
  <si>
    <t>G00799</t>
  </si>
  <si>
    <t>Reverse CE Bonus Accrual for December 2020</t>
  </si>
  <si>
    <t>06/01/21</t>
  </si>
  <si>
    <t>G00838</t>
  </si>
  <si>
    <t>Salaries PE 006/01/2021</t>
  </si>
  <si>
    <t>20/01/21</t>
  </si>
  <si>
    <t>G00839</t>
  </si>
  <si>
    <t>Salaries PE 20/01/2021</t>
  </si>
  <si>
    <t>31/01/21</t>
  </si>
  <si>
    <t>G00840</t>
  </si>
  <si>
    <t>Salaries Accruals 21-31 Jan 2021, 7 working days</t>
  </si>
  <si>
    <t>G00851</t>
  </si>
  <si>
    <t>CE Bonus Accrual for January 2020</t>
  </si>
  <si>
    <t>01/02/21</t>
  </si>
  <si>
    <t>G00841</t>
  </si>
  <si>
    <t>Reverse Salaries accruals 21-31 Jan 2021</t>
  </si>
  <si>
    <t>Reverse CE Bonus Accrual for January 2020</t>
  </si>
  <si>
    <t>03/02/21</t>
  </si>
  <si>
    <t>G00891</t>
  </si>
  <si>
    <t>Salaries PE 03/02/2021</t>
  </si>
  <si>
    <t>17/02/21</t>
  </si>
  <si>
    <t>G00892</t>
  </si>
  <si>
    <t>Salaries PE 17/02/2021</t>
  </si>
  <si>
    <t>25/02/21</t>
  </si>
  <si>
    <t>PSI0035</t>
  </si>
  <si>
    <t>50% of extra duties allowance</t>
  </si>
  <si>
    <t xml:space="preserve"> New Zealand Trade &amp; Enterprise</t>
  </si>
  <si>
    <t>Invoice SI0035</t>
  </si>
  <si>
    <t>50% of base salary</t>
  </si>
  <si>
    <t>Credit Memo</t>
  </si>
  <si>
    <t>PSBLK006</t>
  </si>
  <si>
    <t>Credit Memo SCR007</t>
  </si>
  <si>
    <t>28/02/21</t>
  </si>
  <si>
    <t>G00893</t>
  </si>
  <si>
    <t>Salaries accrual 18-28 Feb 2021, 6 working days</t>
  </si>
  <si>
    <t>G00900</t>
  </si>
  <si>
    <t>CE Bonus Accrual for February 2020</t>
  </si>
  <si>
    <t>PSI0036</t>
  </si>
  <si>
    <t>Invoice SI0036</t>
  </si>
  <si>
    <t>01/03/21</t>
  </si>
  <si>
    <t>G00894</t>
  </si>
  <si>
    <t>Reverse Salaries accrual 18-28 Feb 2021</t>
  </si>
  <si>
    <t>G00901</t>
  </si>
  <si>
    <t>Reverse CE Bonus Accrual for February 2020</t>
  </si>
  <si>
    <t>03/03/21</t>
  </si>
  <si>
    <t>G00934</t>
  </si>
  <si>
    <t>Salaries PE 3/03/2021</t>
  </si>
  <si>
    <t>17/03/21</t>
  </si>
  <si>
    <t>G00937</t>
  </si>
  <si>
    <t>Salaries PE 17/03/2021</t>
  </si>
  <si>
    <t>31/03/21</t>
  </si>
  <si>
    <t>G00938</t>
  </si>
  <si>
    <t>CE Bonus Accrual for March 2021</t>
  </si>
  <si>
    <t>PSI0039</t>
  </si>
  <si>
    <t>Invoice SI0039</t>
  </si>
  <si>
    <t>G00964</t>
  </si>
  <si>
    <t>Salaries PE 31/03/2021</t>
  </si>
  <si>
    <t>3155</t>
  </si>
  <si>
    <t>Annual Leave</t>
  </si>
  <si>
    <t>G00671</t>
  </si>
  <si>
    <t>Reverse annual leave accrual for November 2020</t>
  </si>
  <si>
    <t>G00796</t>
  </si>
  <si>
    <t>Annual leave accrual for December 2020</t>
  </si>
  <si>
    <t>G00797</t>
  </si>
  <si>
    <t>Reverse annual leave accrual for December 2020</t>
  </si>
  <si>
    <t>G00842</t>
  </si>
  <si>
    <t>Annual leave accrual for January 2021</t>
  </si>
  <si>
    <t>G00843</t>
  </si>
  <si>
    <t>Reverse annual leave accrual for January 2021</t>
  </si>
  <si>
    <t>G00895</t>
  </si>
  <si>
    <t>Annual leave accrual for February 2021</t>
  </si>
  <si>
    <t>G00896</t>
  </si>
  <si>
    <t>Reverse annual leave accrual for February 2021</t>
  </si>
  <si>
    <t>G00965</t>
  </si>
  <si>
    <t>Annual leave accrual for March 2021</t>
  </si>
  <si>
    <t>3260</t>
  </si>
  <si>
    <t>Contractors</t>
  </si>
  <si>
    <t>PPINV01523</t>
  </si>
  <si>
    <t>Board Day - Planning 2021: Design Work (04/02/2021 - 19/02/2021) With Michael Flett and Karim Dickie</t>
  </si>
  <si>
    <t>Jemma Cheer Design Company</t>
  </si>
  <si>
    <t>Invoice PINV01396</t>
  </si>
  <si>
    <t>PPINV01569</t>
  </si>
  <si>
    <t>Support provided by Michael Flett in February 2021</t>
  </si>
  <si>
    <t>MARTIN JENKINS &amp; ASSOCIATES LTD</t>
  </si>
  <si>
    <t>Invoice PINV01415</t>
  </si>
  <si>
    <t>30/03/21</t>
  </si>
  <si>
    <t>PPINV01636</t>
  </si>
  <si>
    <t>4 Year Plan graphics: Layout Jamie Crump, Jo Gilchrist, Roxan Mathys</t>
  </si>
  <si>
    <t>Invoice PINV01517</t>
  </si>
  <si>
    <t>G00810</t>
  </si>
  <si>
    <t>Reversed  Accrue CE Te Reo Maori course fees</t>
  </si>
  <si>
    <t>PPINV01484</t>
  </si>
  <si>
    <t>Leadership Team Coaching - Halfday Team Development workshop</t>
  </si>
  <si>
    <t>Invoice PINV01366</t>
  </si>
  <si>
    <t>Leadership Team Coaching Nov-Dec 2020</t>
  </si>
  <si>
    <t>EM-PEXP-11086</t>
  </si>
  <si>
    <t>GRANT.MCPHERSON - HARVARD BUSINESS REVIEW ANNUAL SUBSCRIPTION</t>
  </si>
  <si>
    <t>subscription</t>
  </si>
  <si>
    <t>04/03/21</t>
  </si>
  <si>
    <t>G00914</t>
  </si>
  <si>
    <t>16/02/21</t>
  </si>
  <si>
    <t>PPINV01372</t>
  </si>
  <si>
    <t>Non­Certified Membership to 31 March 2022 (Profile: 1134)</t>
  </si>
  <si>
    <t>Institute of Financial Professionals NZ</t>
  </si>
  <si>
    <t>Invoice PINV01245</t>
  </si>
  <si>
    <t>200-CORP</t>
  </si>
  <si>
    <t>3285</t>
  </si>
  <si>
    <t>Staff - Flowers / Gifts</t>
  </si>
  <si>
    <t>EM-PEXP-10624</t>
  </si>
  <si>
    <t>GRANT.MCPHERSON - Lunch with ENZ AKL team (7 ppls)</t>
  </si>
  <si>
    <t>domestic travel 12/11/2020</t>
  </si>
  <si>
    <t>EM-PEXP-10626</t>
  </si>
  <si>
    <t>GRANT.MCPHERSON - Morning tea with Paul Irwin re NZ Story meeting</t>
  </si>
  <si>
    <t>domestic travel 13/11/2020</t>
  </si>
  <si>
    <t>EM-PEXP-11076</t>
  </si>
  <si>
    <t>GRANT.MCPHERSON - Coffee with ENZ Board Chair</t>
  </si>
  <si>
    <t>PPINV00893</t>
  </si>
  <si>
    <t>SLT Meeting 01/12/20</t>
  </si>
  <si>
    <t>Invoice PINV00834</t>
  </si>
  <si>
    <t>20/12/20</t>
  </si>
  <si>
    <t>PPINV01027</t>
  </si>
  <si>
    <t>Lunch - 17.12.20</t>
  </si>
  <si>
    <t>Invoice PINV00955</t>
  </si>
  <si>
    <t>SLT</t>
  </si>
  <si>
    <t>EM-PEXP-10625</t>
  </si>
  <si>
    <t>GRANT.MCPHERSON - MOJO QUAY STREET</t>
  </si>
  <si>
    <t>hospitality</t>
  </si>
  <si>
    <t>EM-PEXP-11075</t>
  </si>
  <si>
    <t>GRANT.MCPHERSON - Coffee meeting with the CE of Up Education</t>
  </si>
  <si>
    <t>EM-PEXP-11134</t>
  </si>
  <si>
    <t>GRANT.MCPHERSON - Coffee with Sunder Rajan discuss EdTech opportunit</t>
  </si>
  <si>
    <t>08/03/21</t>
  </si>
  <si>
    <t>EM-PEXP-11235</t>
  </si>
  <si>
    <t>GRANT.MCPHERSON - VERVE CAFE Coffee with Ravi Nagasamy NZTE</t>
  </si>
  <si>
    <t>hospitality - not disclose</t>
  </si>
  <si>
    <t>19/12/20</t>
  </si>
  <si>
    <t>PPC000023</t>
  </si>
  <si>
    <t>Travel Fees Grant Apie Vancouver</t>
  </si>
  <si>
    <t>Credit Memo PPC000023</t>
  </si>
  <si>
    <t>PPINV01193</t>
  </si>
  <si>
    <t>Travel Fees Mcpherson Grant Rautaki Maori WLG 15Dec20 WLG</t>
  </si>
  <si>
    <t>Invoice PINV01099</t>
  </si>
  <si>
    <t>Tuari Edward Rautaki Maori WLG 15Dec20</t>
  </si>
  <si>
    <t>Tuari Edward Esg Pan Agency</t>
  </si>
  <si>
    <t>Reversed  Accrue Orbit Travel November 2020</t>
  </si>
  <si>
    <t>G00911</t>
  </si>
  <si>
    <t xml:space="preserve">Accrue Travel Fees </t>
  </si>
  <si>
    <t>Accrue Orbit Feb Invoice - Mcpherson Grant</t>
  </si>
  <si>
    <t>Accrue Orbit Feb Invoice - Tuari Edward Hector</t>
  </si>
  <si>
    <t>PPINV01442</t>
  </si>
  <si>
    <t xml:space="preserve">Travel Fees </t>
  </si>
  <si>
    <t>Invoice PINV01300</t>
  </si>
  <si>
    <t>G00912</t>
  </si>
  <si>
    <t>PPC000021</t>
  </si>
  <si>
    <t>Air Fares Tuari Edward Attend Enz B 21/07/20</t>
  </si>
  <si>
    <t>Credit Memo PPC000021</t>
  </si>
  <si>
    <t>PPINV00961</t>
  </si>
  <si>
    <t>Air Fares Tuari Edward Rautaki Maori WLG 16Dec20</t>
  </si>
  <si>
    <t>Invoice PINV00893</t>
  </si>
  <si>
    <t>Air Fares Tuari Edward Esg Pan Agency WLG 24Nov20</t>
  </si>
  <si>
    <t>G00806</t>
  </si>
  <si>
    <t>Accrue Orbit Travel Dec 2020 Mcpherson Grant</t>
  </si>
  <si>
    <t>Accrue Orbit Travel Dec 2020 Tuari Edward</t>
  </si>
  <si>
    <t>Dom Air Fares Mcpherson Grant Rautaki Maori WLG 15Dec20 WLG</t>
  </si>
  <si>
    <t>Domst Air Fares Tuari Edward Rautaki Maori WLG 15Dec20</t>
  </si>
  <si>
    <t>Reversed  Accrue Orbit Travel July 2020</t>
  </si>
  <si>
    <t>G00811</t>
  </si>
  <si>
    <t>Reverse  Accrue Orbit Travel Dec 2020 Mcpherson Grant</t>
  </si>
  <si>
    <t>Reverse  Accrue Orbit Travel Dec 2020 Tuari Edward</t>
  </si>
  <si>
    <t>Accrue Mcpherson Grant Wgt-AKL to Attend Nz St 04Feb21</t>
  </si>
  <si>
    <t>Accrue Mcpherson Grant Wgt-AKL Meeting 15Feb21</t>
  </si>
  <si>
    <t>Accrue Tuari Edward  Attend Meeting WLG 04Feb21</t>
  </si>
  <si>
    <t>Tuari Edward  Attend Meeting WLG 04Feb21</t>
  </si>
  <si>
    <t>Mcpherson Grant Wgt-AKL Meeting 15Feb21</t>
  </si>
  <si>
    <t>Mcpherson Grant Wgt-AKL to Attend Nz St 04Feb21</t>
  </si>
  <si>
    <t>PPINV01596</t>
  </si>
  <si>
    <t>Tuari Edward Work WLG 24Mar21 Tax</t>
  </si>
  <si>
    <t>Invoice PINV01472</t>
  </si>
  <si>
    <t>Tuari Edward Work WLG 24Mar21</t>
  </si>
  <si>
    <t>Tuari Edward Attend External WLG 03Mar21 Tax</t>
  </si>
  <si>
    <t xml:space="preserve">Tuari Edward Attend External WLG 03Mar21 </t>
  </si>
  <si>
    <t>Mcpherson Grant Meeting AKL 15Feb21</t>
  </si>
  <si>
    <t>Mcpherson Grant To Attend Nz St AKL 04Feb21</t>
  </si>
  <si>
    <t>EM-PEXP-10628</t>
  </si>
  <si>
    <t>GRANT.MCPHERSON - 2 nights hotel &amp; dinner beverage charge in AKL</t>
  </si>
  <si>
    <t>Accomm. Tuari Edward Esg Pan Agency WLG 24Nov20</t>
  </si>
  <si>
    <t xml:space="preserve">Accomm. Tuari Edward Esg Meeting WLG 04Nov20 </t>
  </si>
  <si>
    <t>EM-PEXP-10766</t>
  </si>
  <si>
    <t>ED.TUARI - GOLDEN GIRL CHINESE LAMBT</t>
  </si>
  <si>
    <t>EM-PEXP-10814</t>
  </si>
  <si>
    <t>GRANT.MCPHERSON - BADUZZI - Dinner with Paul Irwin in Auckland</t>
  </si>
  <si>
    <t>EM-PEXP-10828</t>
  </si>
  <si>
    <t>ED.TUARI - THE FEATHERS PUBLIC HOUSE</t>
  </si>
  <si>
    <t>02/12/20</t>
  </si>
  <si>
    <t>EM-PEXP-10831</t>
  </si>
  <si>
    <t>ED.TUARI - WISHBONE STOUT STREET</t>
  </si>
  <si>
    <t>14/12/20</t>
  </si>
  <si>
    <t>EM-PEXP-10822</t>
  </si>
  <si>
    <t>ED.TUARI - 1841BAR &amp; RESTURANT</t>
  </si>
  <si>
    <t>Domst Travel Tuari Edward Rautaki Maori WLG 15Dec20</t>
  </si>
  <si>
    <t>Domst Accommodation Tuari Edward Esg Pan Agency</t>
  </si>
  <si>
    <t>G00859</t>
  </si>
  <si>
    <t>Accrue Orbit Hotel Jan 2021-Crosson Ross</t>
  </si>
  <si>
    <t>Accrue Orbit Hotel Jan 2021-Holt Kenneth</t>
  </si>
  <si>
    <t>G00883</t>
  </si>
  <si>
    <t>Reverse Accrue Orbit Hotel Jan 2021-Crosson Ross</t>
  </si>
  <si>
    <t>Reverse Accrue Orbit Hotel Jan 2021-Holt Kenneth</t>
  </si>
  <si>
    <t>EM-PEXP-11236</t>
  </si>
  <si>
    <t>GRANT.MCPHERSON - Working breakfast on Hamilton NZIST trip</t>
  </si>
  <si>
    <t>domestic travel 4/03/2021</t>
  </si>
  <si>
    <t>EM-PEXP-11263</t>
  </si>
  <si>
    <t>GRANT.MCPHERSON - Richard, Paul, Grant lunch for Te Pukenga visit</t>
  </si>
  <si>
    <t>09/03/21</t>
  </si>
  <si>
    <t>G00930</t>
  </si>
  <si>
    <t>Grant McPherson refund tips paid by ENZ P-Card BADUZZI</t>
  </si>
  <si>
    <t xml:space="preserve">domestic travel 12/11/2020 </t>
  </si>
  <si>
    <t>Tuari Edward Work WLG 24Mar21 Other</t>
  </si>
  <si>
    <t>Tuari Edward Attend External WLG 03Mar21 other</t>
  </si>
  <si>
    <t>domestic travel</t>
  </si>
  <si>
    <t>EM-PEXP-10623</t>
  </si>
  <si>
    <t>GRANT.MCPHERSON - Taxi from ENZ office to WGTN airport for AKL trip</t>
  </si>
  <si>
    <t>taxi 11/11/2020</t>
  </si>
  <si>
    <t>EM-PEXP-10627</t>
  </si>
  <si>
    <t>GRANT.MCPHERSON - Taxi from WGTN airport to home after trip to AKL</t>
  </si>
  <si>
    <t>taxi 13/11/2020</t>
  </si>
  <si>
    <t>EM-PEXP-10651</t>
  </si>
  <si>
    <t>ED.TUARI - Travel to WLG head office.</t>
  </si>
  <si>
    <t>EM-PEXP-10826</t>
  </si>
  <si>
    <t>EM-PEXP-10827</t>
  </si>
  <si>
    <t>EM-PEXP-10829</t>
  </si>
  <si>
    <t>EM-PEXP-10830</t>
  </si>
  <si>
    <t>EM-PEXP-10820</t>
  </si>
  <si>
    <t>ED.TUARI - Wgtn Combined Taxis to WLG airport</t>
  </si>
  <si>
    <t>EM-PEXP-10821</t>
  </si>
  <si>
    <t>EM-PEXP-10832</t>
  </si>
  <si>
    <t>EM-PEXP-10833</t>
  </si>
  <si>
    <t>15/12/20</t>
  </si>
  <si>
    <t>EM-PEXP-10834</t>
  </si>
  <si>
    <t>17/12/20</t>
  </si>
  <si>
    <t>EM-PEXP-10823</t>
  </si>
  <si>
    <t>EM-PEXP-10824</t>
  </si>
  <si>
    <t>EM-PEXP-10825</t>
  </si>
  <si>
    <t>G00771</t>
  </si>
  <si>
    <t>Ed Tuari UBER Reimb 389300</t>
  </si>
  <si>
    <t>ANZ</t>
  </si>
  <si>
    <t>EM-PEXP-11056</t>
  </si>
  <si>
    <t>EM-PEXP-11057</t>
  </si>
  <si>
    <t>EM-PEXP-11058</t>
  </si>
  <si>
    <t>ED.TUARI - Pan Education Agency Hui at MoE</t>
  </si>
  <si>
    <t>EM-PEXP-11103</t>
  </si>
  <si>
    <t>Rental Car Mcpherson Grant Jenny Dixon Far AKL 11Nov20</t>
  </si>
  <si>
    <t>EM-PEXP-11238</t>
  </si>
  <si>
    <t>GRANT.MCPHERSON - Auckland parking while on visit to UoA</t>
  </si>
  <si>
    <t>parking 12/11/2020</t>
  </si>
  <si>
    <t>EM-PEXP-11239</t>
  </si>
  <si>
    <t>GRANT.MCPHERSON - Auckland CBD parking while on work visit</t>
  </si>
  <si>
    <t>parking 11/11/2020</t>
  </si>
  <si>
    <t>EM-PEXP-11240</t>
  </si>
  <si>
    <t>EM-PEXP-11237</t>
  </si>
  <si>
    <t>GRANT.MCPHERSON - Wellington airport parking for Hamilton NZIST trip</t>
  </si>
  <si>
    <t>parking 4/03/2021</t>
  </si>
  <si>
    <t>Air Fares Mcpherson Grant Apie Vancouver 20/03/20</t>
  </si>
  <si>
    <t>Tickets Tax Grant Apie Vancouver</t>
  </si>
  <si>
    <t>Intern Air Fares Grant Apie Vancouver 20Mar20</t>
  </si>
  <si>
    <t>PPINV00932</t>
  </si>
  <si>
    <t>Business Cards for ED TUARI</t>
  </si>
  <si>
    <t>Invoice PINV00835</t>
  </si>
  <si>
    <t>PPINV01441</t>
  </si>
  <si>
    <t>BUSINESS CARDS x 3 names 55 x 90 100 X Karim Dickie, Diana Solomon1</t>
  </si>
  <si>
    <t>Invoice PINV01314</t>
  </si>
  <si>
    <t>PPINV01174</t>
  </si>
  <si>
    <t>Catering for International Education General Managers</t>
  </si>
  <si>
    <t>Lambton Goods</t>
  </si>
  <si>
    <t>Invoice PINV01074</t>
  </si>
  <si>
    <t>PPINV01175</t>
  </si>
  <si>
    <t>SLT Meeting (Karim)</t>
  </si>
  <si>
    <t>Invoice PINV01073</t>
  </si>
  <si>
    <t>04/02/21</t>
  </si>
  <si>
    <t>PPINV01316</t>
  </si>
  <si>
    <t>Lunch bags for SLT all day meeting</t>
  </si>
  <si>
    <t>Invoice PINV01181</t>
  </si>
  <si>
    <t>05/03/21</t>
  </si>
  <si>
    <t>PPINV01500</t>
  </si>
  <si>
    <t>SOG Meeting 05/03/21</t>
  </si>
  <si>
    <t>Invoice PINV01353</t>
  </si>
  <si>
    <t>EM-PEXP-11248</t>
  </si>
  <si>
    <t>FIONA.CAMERON - COUNTDOWN-CABLE CAR LANE</t>
  </si>
  <si>
    <t>11/03/21</t>
  </si>
  <si>
    <t>PPINV01533</t>
  </si>
  <si>
    <t>Invoice PINV01408</t>
  </si>
  <si>
    <t>Accrue China Event Registration WeChat Mini Programme</t>
  </si>
  <si>
    <t>CH</t>
  </si>
  <si>
    <t>AGENTWECHAT</t>
  </si>
  <si>
    <t>Accrue Innovation UDLP Prototype 3 - Ecosystem Evolution</t>
  </si>
  <si>
    <t>UDLP</t>
  </si>
  <si>
    <t>Reverse Accrue China Event Registration WeChat Mini Programme</t>
  </si>
  <si>
    <t>Reverse Accrue Innovation UDLP Prototype 3 - Ecosystem Evolution</t>
  </si>
  <si>
    <t>EM-PEXP-11207</t>
  </si>
  <si>
    <t>GRANT.MCPHERSON - Refund of APAIE dinner ticket</t>
  </si>
  <si>
    <t>A/C Code</t>
  </si>
  <si>
    <t>Domestic_FD</t>
  </si>
  <si>
    <t>VendorType</t>
  </si>
  <si>
    <t>OtherProd_FD</t>
  </si>
  <si>
    <t>Project</t>
  </si>
  <si>
    <t>Region</t>
  </si>
  <si>
    <t>Approver</t>
  </si>
  <si>
    <t>Departure Date</t>
  </si>
  <si>
    <t>Passenger Name</t>
  </si>
  <si>
    <t>Reason for Travel</t>
  </si>
  <si>
    <t>Net</t>
  </si>
  <si>
    <t>GST</t>
  </si>
  <si>
    <t>Payable</t>
  </si>
  <si>
    <t xml:space="preserve">Period </t>
  </si>
  <si>
    <t>Invoice No.</t>
  </si>
  <si>
    <t>BC No.</t>
  </si>
  <si>
    <t>D</t>
  </si>
  <si>
    <t>OTHER</t>
  </si>
  <si>
    <t>Fee - Online Domestic</t>
  </si>
  <si>
    <t>Admn</t>
  </si>
  <si>
    <t>Wgtn</t>
  </si>
  <si>
    <t>Karim Dickie</t>
  </si>
  <si>
    <t>Mcpherson Grant</t>
  </si>
  <si>
    <t>To Attend Nz Story Board Meeting</t>
  </si>
  <si>
    <t>TKT</t>
  </si>
  <si>
    <t>Amendment Fee - Domestic</t>
  </si>
  <si>
    <t>9240</t>
  </si>
  <si>
    <t>Fee - Offline Domestic</t>
  </si>
  <si>
    <t>Meeting</t>
  </si>
  <si>
    <t>After Hours Fee Domestic</t>
  </si>
  <si>
    <t>9380</t>
  </si>
  <si>
    <t>Visit To Te Pukenga And Waikato University</t>
  </si>
  <si>
    <t>Automated Line Item Fee</t>
  </si>
  <si>
    <t>Jenny Dixon Farewell And Work At Akld Office</t>
  </si>
  <si>
    <t>9075</t>
  </si>
  <si>
    <t>Charge Back - Domestic Car</t>
  </si>
  <si>
    <t>CARCOMPANY</t>
  </si>
  <si>
    <t>Row Labels</t>
  </si>
  <si>
    <t>Sum of Net</t>
  </si>
  <si>
    <t>rental car</t>
  </si>
  <si>
    <t>cancellation fees</t>
  </si>
  <si>
    <t>Grand Total</t>
  </si>
  <si>
    <t>Orbit Invoice for March 2021 - Accruals</t>
  </si>
  <si>
    <t>Chch</t>
  </si>
  <si>
    <t>Tereska Thornton</t>
  </si>
  <si>
    <t>Meet With Providers And Stakeholders</t>
  </si>
  <si>
    <t>Disclosed in 2019/20</t>
  </si>
  <si>
    <t>Disclosed in the December 2020 ARC meeting</t>
  </si>
  <si>
    <t>Credit Card Expenses:</t>
  </si>
  <si>
    <t>Continia User ID</t>
  </si>
  <si>
    <t>Document Date</t>
  </si>
  <si>
    <t>Expense Type</t>
  </si>
  <si>
    <t>Attendees</t>
  </si>
  <si>
    <t>Reimbursed</t>
  </si>
  <si>
    <t>Admin Comment</t>
  </si>
  <si>
    <t>Attachments</t>
  </si>
  <si>
    <t>Currency Code</t>
  </si>
  <si>
    <t>Amount (LCY)</t>
  </si>
  <si>
    <t>Cash/Private Card</t>
  </si>
  <si>
    <t>Matched to Bank Transaction</t>
  </si>
  <si>
    <t>Country</t>
  </si>
  <si>
    <t>Channel</t>
  </si>
  <si>
    <t>Industry</t>
  </si>
  <si>
    <t>No</t>
  </si>
  <si>
    <t>GRANT.MCPHERSON</t>
  </si>
  <si>
    <t>OFFICIAL ENTERTAIN</t>
  </si>
  <si>
    <t>Lunch - Waikato university international strategy</t>
  </si>
  <si>
    <t>Yes</t>
  </si>
  <si>
    <t>Lunch with who?</t>
  </si>
  <si>
    <t>CAR RENTAL,MIL,PARK</t>
  </si>
  <si>
    <t>MUSEUM OF NZ TE PAPA</t>
  </si>
  <si>
    <t>SUBSCRIPTIONS</t>
  </si>
  <si>
    <t>CA ANZ ANNUAL BILLING</t>
  </si>
  <si>
    <t>ECONOMIST SUBSCRIPTION</t>
  </si>
  <si>
    <t>General Ledger - Transaction List (Cost centre 100)</t>
  </si>
  <si>
    <t>System Date:</t>
  </si>
  <si>
    <t>Period:</t>
  </si>
  <si>
    <t>Jun 2020</t>
  </si>
  <si>
    <t>Transaction Filtered By: AccountCode Like "????.100"
Transactions:  Range of Periods From Apr 2020 To Jun 2020</t>
  </si>
  <si>
    <t>Branch</t>
  </si>
  <si>
    <t>Dept</t>
  </si>
  <si>
    <t>Date</t>
  </si>
  <si>
    <t>Reference</t>
  </si>
  <si>
    <t>Source
Module</t>
  </si>
  <si>
    <t>GL
Batch</t>
  </si>
  <si>
    <t>Audit #</t>
  </si>
  <si>
    <t>Debit</t>
  </si>
  <si>
    <t>Credit</t>
  </si>
  <si>
    <t xml:space="preserve">3305.100   -  Staff - Courses / Seminars  </t>
  </si>
  <si>
    <t>WGTN</t>
  </si>
  <si>
    <t>Cameron, Fiona</t>
  </si>
  <si>
    <t>SLT Learning and Development</t>
  </si>
  <si>
    <t>GL</t>
  </si>
  <si>
    <t xml:space="preserve">3315.100   -  Subscriptions - Professional Associations  </t>
  </si>
  <si>
    <t>McPherson, Grant</t>
  </si>
  <si>
    <t>Accrue unapproved ENZ P-Cards for March 2020</t>
  </si>
  <si>
    <t>WEB1023440</t>
  </si>
  <si>
    <t>INFI001 - 3315.100 - NON CERTIFIED  TO 21 MAR2021</t>
  </si>
  <si>
    <t>AP</t>
  </si>
  <si>
    <t>609648</t>
  </si>
  <si>
    <t>IDIR001 - 3315.100 - MEMBERSHIP GRANT M</t>
  </si>
  <si>
    <t>286182</t>
  </si>
  <si>
    <t>WELL01 - 3315.100 - ANNUAL SUBSCRIPTION 20/21</t>
  </si>
  <si>
    <t>Sydney Morning Herald subscription</t>
  </si>
  <si>
    <t xml:space="preserve">3440.100   -  Gifts / Souvenirs to Non-ENZ persons  </t>
  </si>
  <si>
    <t>FTI02251NZ</t>
  </si>
  <si>
    <t>NZTE01 - 3440.100 - GIFTS</t>
  </si>
  <si>
    <t xml:space="preserve">3605.100   -  Travel Fees  </t>
  </si>
  <si>
    <t>Travel fees</t>
  </si>
  <si>
    <t xml:space="preserve">3610.100   -  Domestic Travel - Air Fares  </t>
  </si>
  <si>
    <t>Mcpherson GrantStaff Meetings And Attend Germany Perception</t>
  </si>
  <si>
    <t xml:space="preserve">3620.100   -  Domestic Travel - Accommodation &amp; Meals  </t>
  </si>
  <si>
    <t>AKL0</t>
  </si>
  <si>
    <t>Tuari, Ed</t>
  </si>
  <si>
    <t>Personal item refunded to ENZ on 04/06/2020</t>
  </si>
  <si>
    <t>Tuari EdwardRautaki M&amp;#25703/03</t>
  </si>
  <si>
    <t>BP 4/06/2020</t>
  </si>
  <si>
    <t>025 - 3620.100 - ED TUARI REFUND PERSONAL UBER - ED TUARI RE</t>
  </si>
  <si>
    <t>CB</t>
  </si>
  <si>
    <t>Rautaki Maori</t>
  </si>
  <si>
    <t>Rautaki Maori - Ed in Wellngton for ENZ Board Planning Day.</t>
  </si>
  <si>
    <t>Rautaki Maori - ENZ Board Planning Day</t>
  </si>
  <si>
    <t xml:space="preserve">3630.100   -  Taxis  </t>
  </si>
  <si>
    <t>Accrue unapproved ENZ P-Cards for May 2020</t>
  </si>
  <si>
    <t>BP 16/06/2020</t>
  </si>
  <si>
    <t>025 - 3630.100 - ED TUARI REFUND PERSONAL TAXIS - ED TUARI R</t>
  </si>
  <si>
    <t>DC 16/06/2020</t>
  </si>
  <si>
    <t>Personal item refunded to ENZ on 16/06/2020</t>
  </si>
  <si>
    <t>Taxi - Rautaki Meeting with UOA in Mt Eden</t>
  </si>
  <si>
    <t>Taxi Meeting with ATEED Maori Engagement Manager</t>
  </si>
  <si>
    <t>personal item refunded to ENZ on 16/06/2020</t>
  </si>
  <si>
    <t>Uber taxi to recording studio to compete voice over for ENZ</t>
  </si>
  <si>
    <t>Taxi for ENZ Karakia Project</t>
  </si>
  <si>
    <t>Taxi to Meeting with Tupu Toa</t>
  </si>
  <si>
    <t xml:space="preserve">3635.100   -  Rental Car,Mileage&amp;Parking  </t>
  </si>
  <si>
    <t>Car parking due to ENZ space being used by Covid response</t>
  </si>
  <si>
    <t xml:space="preserve">3710.100   -  International Travel - Accommodation &amp; Meals  </t>
  </si>
  <si>
    <t>CE19</t>
  </si>
  <si>
    <t>Meals for travelling in Europe for DAAD delegation</t>
  </si>
  <si>
    <t xml:space="preserve">3905.100   -  Telephone / Fax - Landline  </t>
  </si>
  <si>
    <t>Deduction for Libby MacDonald's personal monile data usage</t>
  </si>
  <si>
    <t xml:space="preserve">3925.100   -  Mobile / Cellphone Costs  </t>
  </si>
  <si>
    <t>193867767</t>
  </si>
  <si>
    <t>TELS001 - 3925.100 - CELL PHONE CHARGES MARCH20</t>
  </si>
  <si>
    <t>195200281</t>
  </si>
  <si>
    <t>TELS001 - 3925.100 - CELLPHONE CHARGES APR20</t>
  </si>
  <si>
    <t>196511007</t>
  </si>
  <si>
    <t>TELS001 - 3925.100 - CELLPHONE CHARGES MAY 20</t>
  </si>
  <si>
    <t>TOTAL CE's Expenses April to June 2020:</t>
  </si>
  <si>
    <t>Mar 2020</t>
  </si>
  <si>
    <t>Transaction Filtered By: AccountCode Like "????.100"
Transactions:  Range of Periods From Nov 2019 To Feb 2020</t>
  </si>
  <si>
    <t>1766</t>
  </si>
  <si>
    <t>CAPA001 - 3305.100 - SLT TMI SESSION 5/11/2019</t>
  </si>
  <si>
    <t>Scott, Greg</t>
  </si>
  <si>
    <t>CA ANZ</t>
  </si>
  <si>
    <t xml:space="preserve">3340.100   -  Staff - Flowers / Gifts  </t>
  </si>
  <si>
    <t>ACCOUNT#60/30NOV19</t>
  </si>
  <si>
    <t>LAGO001 - 3340.100 - FOOD FOR MEETING AND XMAS PART</t>
  </si>
  <si>
    <t xml:space="preserve">3425.100   -  Travel Expenses - Domestic Visitors  </t>
  </si>
  <si>
    <t>Accrue unapproved ENZ P-Cards for October 2019</t>
  </si>
  <si>
    <t>Stakeholder Relations</t>
  </si>
  <si>
    <t xml:space="preserve">3435.100   -  Official Entertainment  </t>
  </si>
  <si>
    <t>NZIEC feedback from Ara - Beth Knowles</t>
  </si>
  <si>
    <t>Meeting with UC</t>
  </si>
  <si>
    <t>Accrue unapproved ENZ P-Cards for February 2020</t>
  </si>
  <si>
    <t>Corporate Gifts</t>
  </si>
  <si>
    <t>100039</t>
  </si>
  <si>
    <t>025 - 3440.100 - PETTY CASH TOP UP - PETTY CASH TOP UP</t>
  </si>
  <si>
    <t>travel fees</t>
  </si>
  <si>
    <t>Mcpherson GrantAttending Meetings18/10</t>
  </si>
  <si>
    <t>Mcpherson GrantAttend Various Meetings01/12</t>
  </si>
  <si>
    <t>Tuari EdwardRautaki29/10</t>
  </si>
  <si>
    <t>Tuari EdwardRautaki Mtg And Working Out Of Head Office20/11</t>
  </si>
  <si>
    <t>Tuari EdwardExternal Meetings20/11</t>
  </si>
  <si>
    <t>Tuari EdwardAttend Enz Xmas Lunch29/11</t>
  </si>
  <si>
    <t>Tuari EdwardExternal Mtgs11/12</t>
  </si>
  <si>
    <t>Tuari EdwardBusiness30/01</t>
  </si>
  <si>
    <t>Tuari EdwardAttend Enz Xmas Lunch27/11</t>
  </si>
  <si>
    <t>Tuari EdwardAttend Meetings In Wgtn04/02</t>
  </si>
  <si>
    <t>Tuari EdwardAccompany Ce To A Meeting In Wlgn27/02</t>
  </si>
  <si>
    <t>Tuari EdwardRautaki M&amp;#25709/03</t>
  </si>
  <si>
    <t>Accrue unapproved ENZ P-Cards for December 2019</t>
  </si>
  <si>
    <t>Meeting with Stephen England Hall TNZ</t>
  </si>
  <si>
    <t>Breakfast Auckland Trip</t>
  </si>
  <si>
    <t>Dinner in Auckland</t>
  </si>
  <si>
    <t>Breakfast/lunch at Auckland for various meetings</t>
  </si>
  <si>
    <t>2 nights hotel &amp; meal at Auckland</t>
  </si>
  <si>
    <t>Tuari EdwardRautaki, Waiata, Saudi24/09</t>
  </si>
  <si>
    <t>Tuari EdwardRautaki M&amp;#25715/10</t>
  </si>
  <si>
    <t>Tuari EdwardRautaki21/10</t>
  </si>
  <si>
    <t>Tuari EdwardKorereo06/10</t>
  </si>
  <si>
    <t>WGTN lunch</t>
  </si>
  <si>
    <t>Lunch WGTN</t>
  </si>
  <si>
    <t>Tuari EdwardAttending Wellington Office04/02</t>
  </si>
  <si>
    <t>Return from Lincoln University</t>
  </si>
  <si>
    <t>Travel to Lincoln University</t>
  </si>
  <si>
    <t>ECNOV2019</t>
  </si>
  <si>
    <t>LIMAC001 - 3630.100 - TAXI EXPENSES</t>
  </si>
  <si>
    <t>WGTN travel</t>
  </si>
  <si>
    <t>WGTN taxi</t>
  </si>
  <si>
    <t>Accrue TaxiCharge</t>
  </si>
  <si>
    <t>Taxi GRANT MCPHERSON 03/12</t>
  </si>
  <si>
    <t>Taxi Voucher 14/11</t>
  </si>
  <si>
    <t>025 - 3630.100 - PETTY CASH TOP UP - PETTY CASH TOP UP</t>
  </si>
  <si>
    <t>Taxi GRANT MCPHERSON 21/02</t>
  </si>
  <si>
    <t>Personal expense to be reimbursed</t>
  </si>
  <si>
    <t>Personal to be refunded</t>
  </si>
  <si>
    <t>Personal to be reimbursed</t>
  </si>
  <si>
    <t>Stakeholder relations</t>
  </si>
  <si>
    <t>Parking in Auckland CBD</t>
  </si>
  <si>
    <t>Parking in Auckland CBD for various meetings</t>
  </si>
  <si>
    <t>SK00</t>
  </si>
  <si>
    <t>Tuari EdwardKorereo Maori06/10</t>
  </si>
  <si>
    <t xml:space="preserve">3705.100   -  International Travel - Air Fares  </t>
  </si>
  <si>
    <t>EU00</t>
  </si>
  <si>
    <t>Mcpherson GrantConference10/01</t>
  </si>
  <si>
    <t>Ashby JulianMeetings10/01</t>
  </si>
  <si>
    <t>Mcpherson GrantApie Vancouver 202020/03</t>
  </si>
  <si>
    <t>Accrue unapproved ENZ P-Cards for January 2020</t>
  </si>
  <si>
    <t>025 - 3710.100 - PETTY CASH TOP UP - PETTY CASH TOP UP</t>
  </si>
  <si>
    <t>188762398</t>
  </si>
  <si>
    <t>TELS001 - 3925.100 - CELL PHONE CHARGES NOV 2019</t>
  </si>
  <si>
    <t>190022130</t>
  </si>
  <si>
    <t>TELS001 - 3925.100 - CELL PHONE CHARGES DEC19</t>
  </si>
  <si>
    <t>191296704</t>
  </si>
  <si>
    <t>TELS001 - 3925.100 - CELLPHONE CHARGES JAN2020</t>
  </si>
  <si>
    <t xml:space="preserve">4825.100   -  Conf.&amp; Meetings Attendance  </t>
  </si>
  <si>
    <t>NA00</t>
  </si>
  <si>
    <t>APAIE Vancouver 2020 dinner ticket</t>
  </si>
  <si>
    <t>Apr 2020</t>
  </si>
  <si>
    <t>Transaction Filtered By: AccountCode Like "????.100"
Transactions:  Period Mar 2020</t>
  </si>
  <si>
    <t>Rautaki Meeting with Leeane Mercer NZTE</t>
  </si>
  <si>
    <t>Rautaki Maori coffee meeting with NZQA</t>
  </si>
  <si>
    <t>Rautaki Maori dinner meeting with Te Haumihiata in Rotorua</t>
  </si>
  <si>
    <t>Rautaki Maori meeting with Te Haumihiata</t>
  </si>
  <si>
    <t>Meeting with NZQA</t>
  </si>
  <si>
    <t>Rautaki Maori - Meeting with NZQA re-Maori development plan</t>
  </si>
  <si>
    <t>MA00</t>
  </si>
  <si>
    <t>E525</t>
  </si>
  <si>
    <t>MA Indigenous Gifts</t>
  </si>
  <si>
    <t>FTI02070NZ</t>
  </si>
  <si>
    <t>NZTE01 - 3440.100 - NZTE MERCHANDISE</t>
  </si>
  <si>
    <t>FTI02064NZ</t>
  </si>
  <si>
    <t>Rautaki Maori - airfare to Auckland</t>
  </si>
  <si>
    <t>Sarah Snow Lunch in AKL Rautaki Maori</t>
  </si>
  <si>
    <t>Personal Mistake - refund to ENZ</t>
  </si>
  <si>
    <t>Lunch - Rautaki Maori visit Wellington</t>
  </si>
  <si>
    <t>Rautaki Maori - Ed lunch in Wellington.</t>
  </si>
  <si>
    <t>Rautaki Maori - Ed Lunch in WLG</t>
  </si>
  <si>
    <t>Refund by vendor</t>
  </si>
  <si>
    <t>Rautaki Maori lunch in Wellington</t>
  </si>
  <si>
    <t>Rautaki Maori Coffee in Wellington</t>
  </si>
  <si>
    <t>Rautaki Maori - Ed lunch in Wellington</t>
  </si>
  <si>
    <t>Rautaki Maori - Ed breakfast</t>
  </si>
  <si>
    <t>Rautaki Maori - Breakfast with Te Haumihiata in Wellington</t>
  </si>
  <si>
    <t>Rautaki Maori - Ed in Wellington breakfast</t>
  </si>
  <si>
    <t>Rautaki Maori - lunch in Wellington</t>
  </si>
  <si>
    <t>Rautaki Maori - dinner in Wellington</t>
  </si>
  <si>
    <t>Rautaki Maori - morning break</t>
  </si>
  <si>
    <t>Professional Development - lunch with Ross in Napier Kura Re</t>
  </si>
  <si>
    <t>Rautaki Maori - Lunch in Wellington</t>
  </si>
  <si>
    <t>Rautaki Maori - breakfast in Wellington</t>
  </si>
  <si>
    <t>Rautaki Maori - 1 night in Rydes Hotel missed flight</t>
  </si>
  <si>
    <t>Rautaki Maori - Coffee in Wellington</t>
  </si>
  <si>
    <t>Rautaki Maori - Dinner in Wellington</t>
  </si>
  <si>
    <t>Rautaki Maori - Charged excess luggage on return to Auckland</t>
  </si>
  <si>
    <t>Uber to GIC Conference</t>
  </si>
  <si>
    <t>Uber from GIC Venue to Hotel Rautaki Maori</t>
  </si>
  <si>
    <t>Uber to PWC for Rautaki Meeting</t>
  </si>
  <si>
    <t>Uber NZIEC conference</t>
  </si>
  <si>
    <t>Rautaki Maori - Uber to meet with Dr. Kimar Tocker</t>
  </si>
  <si>
    <t>Uber Attend the Global Internship Coinference.</t>
  </si>
  <si>
    <t>Rautaki Maori - UBER Taxi to collect Rental Car from HERTZ</t>
  </si>
  <si>
    <t>Rautaki Maori - Uber to meeting</t>
  </si>
  <si>
    <t>Rautaki Maori - Uber in Wellington</t>
  </si>
  <si>
    <t>Rautaki Maori - Uber</t>
  </si>
  <si>
    <t>Rautaki Maori - Uber to meeting with MOE in Wellington</t>
  </si>
  <si>
    <t>I318</t>
  </si>
  <si>
    <t>Brazilian Famil rental car parking</t>
  </si>
  <si>
    <t>Visiting Academic from Brasil - petrol for rental car travel</t>
  </si>
  <si>
    <t>Rautaki Maori petrol for rental car in Rotorua</t>
  </si>
  <si>
    <t>Rautaki Maori - petrol travelling to Te Reo Maori Symposium</t>
  </si>
  <si>
    <t>Professional Devp - petrol for rental car in Hawkes Bay Kura</t>
  </si>
  <si>
    <t>Accommodation while in Germany for DAAD visit</t>
  </si>
  <si>
    <t>E562</t>
  </si>
  <si>
    <t>APAIE accommodation in Canada</t>
  </si>
  <si>
    <t>192571096</t>
  </si>
  <si>
    <t>TELS001 - 3925.100 - TELEPHONE BILL FEB 2020</t>
  </si>
  <si>
    <t>Phone Cover and Screen protector</t>
  </si>
  <si>
    <t>T/B TOTAL FOR NOV-MAR 20:</t>
  </si>
  <si>
    <t>Oct 2019</t>
  </si>
  <si>
    <t>Transaction Filtered By: AccountCode Like "????.100"
Transactions:  Range of Periods From Jul 2019 To Oct 2019</t>
  </si>
  <si>
    <t>CONF-2-6 OCT-S.SNOW</t>
  </si>
  <si>
    <t>IKRE001 - 3305.100 - SARAH SNOW CONF 2-6 OCT2019</t>
  </si>
  <si>
    <t>INV0000590</t>
  </si>
  <si>
    <t>WEZO001 - 3305.100 - SLT AWAY DAY</t>
  </si>
  <si>
    <t>INVNZ282688</t>
  </si>
  <si>
    <t>CANZ001 - 3315.100 - ANNUAL SUBCRIPTION FEE</t>
  </si>
  <si>
    <t>GRANT MCPHERSON</t>
  </si>
  <si>
    <t>Publication Subscription</t>
  </si>
  <si>
    <t>SLT Away Days Dinner</t>
  </si>
  <si>
    <t>(Hospitality provided to a person from governement department)</t>
  </si>
  <si>
    <t>Meeting with CCC international</t>
  </si>
  <si>
    <t>ChristchurchNZ strategy</t>
  </si>
  <si>
    <t>Meeting with NZTE</t>
  </si>
  <si>
    <t>GREGORY SCOTT</t>
  </si>
  <si>
    <t>Meeting CHCNZ K Haigh</t>
  </si>
  <si>
    <t>Coffee for Pathway project group (15 ppls)</t>
  </si>
  <si>
    <t>Hosting Dinner - pathway project visitors</t>
  </si>
  <si>
    <t>Meeting ITENZ</t>
  </si>
  <si>
    <t>Mcpherson GrantAttend/address Gic Farewell Dinner04/07</t>
  </si>
  <si>
    <t>Mcpherson GrantAttending Meetings In Auckland04/06</t>
  </si>
  <si>
    <t>Tuari EdwardRautaki Maori12/06</t>
  </si>
  <si>
    <t>Tuari EdwardRautaki Maori02/07</t>
  </si>
  <si>
    <t>Snow SarahMeetings On Ingoa Maori04/07</t>
  </si>
  <si>
    <t>Tuari EdwardRautaki Maori - Board And Planning16/07</t>
  </si>
  <si>
    <t>Tuari EdwardRautaki Maori30/07</t>
  </si>
  <si>
    <t>Mcpherson GrantAttend Conference And Board Meeting06/08</t>
  </si>
  <si>
    <t>Tuari EdwardRautaki Maori21/08</t>
  </si>
  <si>
    <t>Accrue ENZ P-Card for July 2019</t>
  </si>
  <si>
    <t>Tuari EdwardMoe24/07</t>
  </si>
  <si>
    <t>Mason BerylAttending The Mahi Tahi Launch30/07</t>
  </si>
  <si>
    <t>Tuari EdwardRautaki M&amp;#25729/08</t>
  </si>
  <si>
    <t>Mason BerylAttending The Mahi Tahi Launch03/09</t>
  </si>
  <si>
    <t>Tuari EdwardTe Wiki O Te Reo M&amp;#25709/09</t>
  </si>
  <si>
    <t>Mcpherson GrantVarious Meetings25/08</t>
  </si>
  <si>
    <t>Tuari EdwardPlanning03/09</t>
  </si>
  <si>
    <t>Total for CE:</t>
  </si>
  <si>
    <t>Accrue unapproved ENZ P-Cards for August 2019</t>
  </si>
  <si>
    <t>JULIAN ASHBY</t>
  </si>
  <si>
    <t>Dinner on the Tuesday of NZIEC</t>
  </si>
  <si>
    <t>NZIEC Accommodation</t>
  </si>
  <si>
    <t>Dinner at Conference</t>
  </si>
  <si>
    <t>Breakfast in AKL ATEED Meeting</t>
  </si>
  <si>
    <t>Lunch Paul/Grant - PDP, P&amp;M Strategy</t>
  </si>
  <si>
    <t>Attend GIC Farewell Reception</t>
  </si>
  <si>
    <t>Attended Meetings and site visit</t>
  </si>
  <si>
    <t>Breakfast GIC Conference</t>
  </si>
  <si>
    <t>CH00</t>
  </si>
  <si>
    <t>Parking - Ara meeting</t>
  </si>
  <si>
    <t>Greg Scott</t>
  </si>
  <si>
    <t>Dinner CHCH Trip</t>
  </si>
  <si>
    <t>Team Coffees (4 ppl) in CHCH</t>
  </si>
  <si>
    <t>CHCH Trip - Meals</t>
  </si>
  <si>
    <t>Dinner CHCH with Laura Simpson</t>
  </si>
  <si>
    <t>Accrue unapproved ENZ P-Cards for September 2019</t>
  </si>
  <si>
    <t>OTAG</t>
  </si>
  <si>
    <t>Dunedin/ChCh Breakfast</t>
  </si>
  <si>
    <t>Petrol Dunedin Trip</t>
  </si>
  <si>
    <t>Breakfast Dunedin Trip</t>
  </si>
  <si>
    <t>Lunch Dunedin</t>
  </si>
  <si>
    <t>RONZ</t>
  </si>
  <si>
    <t>P900</t>
  </si>
  <si>
    <t>To charge to correct cost centre for NZIEC 2019 charges</t>
  </si>
  <si>
    <t>Tuari EdwardAdmn18/06</t>
  </si>
  <si>
    <t>Tuari EdwardRautaki M&amp;#25712/06</t>
  </si>
  <si>
    <t>Julian Ashby</t>
  </si>
  <si>
    <t>Tuari EdwardAdmn25/07</t>
  </si>
  <si>
    <t>Lunch AKL visit</t>
  </si>
  <si>
    <t>Tuari EdwardMaori Langage Week03/09</t>
  </si>
  <si>
    <t>74501</t>
  </si>
  <si>
    <t>WELL01 - 3620.100 - GRANT BRKFAST W/TIM FOWLER TEC</t>
  </si>
  <si>
    <t>NZIEC</t>
  </si>
  <si>
    <t>WGTN Peak Body lunch</t>
  </si>
  <si>
    <t>Parking</t>
  </si>
  <si>
    <t>I363</t>
  </si>
  <si>
    <t>Lunch AKL for NZIEC planning</t>
  </si>
  <si>
    <t>To transfer from cost centre 100 to 430</t>
  </si>
  <si>
    <t>Taxi Transfer AKL Airport to City</t>
  </si>
  <si>
    <t>BR00</t>
  </si>
  <si>
    <t>Taxi from AKL airport to Sky City Hotel for NZIEC</t>
  </si>
  <si>
    <t>Visit to UC</t>
  </si>
  <si>
    <t>Taxi Voucher 12/06</t>
  </si>
  <si>
    <t>Taxi GRANT MCPHERSON 30/08</t>
  </si>
  <si>
    <t>Taxi GRANT MCPHERSON 09/08</t>
  </si>
  <si>
    <t>Taxi GRANT MCPHERSON 06/08</t>
  </si>
  <si>
    <t>Attend US Independence Day Celebration with the US Embassy.</t>
  </si>
  <si>
    <t>Taxi AKL</t>
  </si>
  <si>
    <t>Taxi CHC</t>
  </si>
  <si>
    <t>Taxi WGTN</t>
  </si>
  <si>
    <t>TAXI wgtn</t>
  </si>
  <si>
    <t>100038</t>
  </si>
  <si>
    <t>Taxi from Airport to home after NZIEC</t>
  </si>
  <si>
    <t>Taxi GRANT MCPHERSON 16/09</t>
  </si>
  <si>
    <t>Parking for meeting</t>
  </si>
  <si>
    <t>AV0</t>
  </si>
  <si>
    <t>Parking Meeting</t>
  </si>
  <si>
    <t>Mcpherson GrantMeetings20/03</t>
  </si>
  <si>
    <t>Mcpherson GrantMeetings16/09</t>
  </si>
  <si>
    <t>IN00</t>
  </si>
  <si>
    <t>Korea/Japan/India Trip</t>
  </si>
  <si>
    <t>100036</t>
  </si>
  <si>
    <t>025 - 3710.100 - GRANT MCPHERSON INDIA VISA FEE - GRANT MCPH</t>
  </si>
  <si>
    <t>Business Centre Charges</t>
  </si>
  <si>
    <t>Personal item paid by p-card in error</t>
  </si>
  <si>
    <t>(Personal expense to be refunded to ENZ)</t>
  </si>
  <si>
    <t>Int Travel</t>
  </si>
  <si>
    <t>JA00</t>
  </si>
  <si>
    <t>Meetings and Int. Engagements</t>
  </si>
  <si>
    <t>Lunch Korea</t>
  </si>
  <si>
    <t>Meetings and Int Engagements</t>
  </si>
  <si>
    <t>International Trip</t>
  </si>
  <si>
    <t>iphone storage</t>
  </si>
  <si>
    <t>183947117</t>
  </si>
  <si>
    <t>TELS001 - 3925.100 - CELLPHONE CHARGES JULY 2019</t>
  </si>
  <si>
    <t>Storage phone</t>
  </si>
  <si>
    <t>185114956</t>
  </si>
  <si>
    <t>TELS001 - 3925.100 - AUGUST 2019 CELL PHONE CHARGES</t>
  </si>
  <si>
    <t>186321778</t>
  </si>
  <si>
    <t>TELS001 - 3925.100 - CELL PHONE CHARGES SEPT 2019</t>
  </si>
  <si>
    <t>187531030</t>
  </si>
  <si>
    <t>TELS001 - 3925.100 - CELL PHONE CHARGES OCT2019</t>
  </si>
  <si>
    <t>replacement cover for ENZ phone</t>
  </si>
  <si>
    <t>Trial Balance July - October 2019:</t>
  </si>
  <si>
    <t>I</t>
  </si>
  <si>
    <t>Fee - Offline Longhaul</t>
  </si>
  <si>
    <t>La00</t>
  </si>
  <si>
    <t>Lisa Futsche</t>
  </si>
  <si>
    <t>Latin America Heads Of Mission Meeting</t>
  </si>
  <si>
    <t>Na00</t>
  </si>
  <si>
    <t>Meetings</t>
  </si>
  <si>
    <t>Amendment Fee - Longhaul</t>
  </si>
  <si>
    <t>Libby Macdonald</t>
  </si>
  <si>
    <t>Attending Meetings In Auckland</t>
  </si>
  <si>
    <t>Charge Back - Domestic Hotel</t>
  </si>
  <si>
    <t>Akl0</t>
  </si>
  <si>
    <t>Attend the 2019 Global Internship Conference in Auckland</t>
  </si>
  <si>
    <t>Attend NZIEC Conference &amp; ENZ Board Meeting</t>
  </si>
  <si>
    <t>HOTEL</t>
  </si>
  <si>
    <t>Vt00</t>
  </si>
  <si>
    <t>SUBTOTAL:</t>
  </si>
  <si>
    <t>(blank)</t>
  </si>
  <si>
    <t>Attendance at the Destination Auckalnd Industry Leaders meeting in Auckland and meeting with universities representatives in Christchurch and Dunedin</t>
  </si>
  <si>
    <t>Sk00</t>
  </si>
  <si>
    <t>Libby Mcdonald</t>
  </si>
  <si>
    <t>Longhaul Booking Fee - Hotel</t>
  </si>
  <si>
    <t>Rautaki</t>
  </si>
  <si>
    <t>Attendance at the NZ Story Board meeting</t>
  </si>
  <si>
    <t>Fee - Online Assisted Domestic</t>
  </si>
  <si>
    <t>Dest Alk Futures Forum Ateed</t>
  </si>
  <si>
    <t>Libby Mcdonadl</t>
  </si>
  <si>
    <t>Conference</t>
  </si>
  <si>
    <t>Eu00</t>
  </si>
  <si>
    <t>Charge Back Longhaul Hotel</t>
  </si>
  <si>
    <t>Attend the Destination Auckalnd Industry Leaders meeting in Auckland and meeting with universities representatives in Christchurch and Dunedin</t>
  </si>
  <si>
    <t>Attend the NZ Story Board meeting</t>
  </si>
  <si>
    <t>Transaction Date</t>
  </si>
  <si>
    <t>Transaction Time</t>
  </si>
  <si>
    <t>Transaction Load Date</t>
  </si>
  <si>
    <t>Statement Date</t>
  </si>
  <si>
    <t>Cardholder Name</t>
  </si>
  <si>
    <t>Card No.</t>
  </si>
  <si>
    <t>Narration</t>
  </si>
  <si>
    <t>Fare From</t>
  </si>
  <si>
    <t>Fare To</t>
  </si>
  <si>
    <t>Fare (excl GST incl Fees)</t>
  </si>
  <si>
    <t>Fare (incl GST incl Fees)</t>
  </si>
  <si>
    <t>Original Fare (incl GST)</t>
  </si>
  <si>
    <t>Nature</t>
  </si>
  <si>
    <t>Location</t>
  </si>
  <si>
    <t>[30812081216001250]</t>
  </si>
  <si>
    <t xml:space="preserve">SkyCity Area                                                                                                                                                                                                                                                    </t>
  </si>
  <si>
    <t xml:space="preserve">Pullman Hotel                                                                                                                                                                                                                                                   </t>
  </si>
  <si>
    <t xml:space="preserve">THORN/MOLESWORTHAREA                                                                                                                                                                                                                                            </t>
  </si>
  <si>
    <t xml:space="preserve">WELLINGTON AIRPORT                                                                                                                                                                                                                                              </t>
  </si>
  <si>
    <t xml:space="preserve">Victoria Park Area                                                                                                                                                                                                                                              </t>
  </si>
  <si>
    <t xml:space="preserve">Auckland Domestic Te                                                                                                                                                                                                                                            </t>
  </si>
  <si>
    <t>Accompany PM's visit to Japan</t>
  </si>
  <si>
    <t>VODAFONE  MOBILES</t>
  </si>
  <si>
    <t>Acct:</t>
  </si>
  <si>
    <t>382148835</t>
  </si>
  <si>
    <t>Date:</t>
  </si>
  <si>
    <t>Pricing Plan</t>
  </si>
  <si>
    <t>Usage/Other</t>
  </si>
  <si>
    <t>Roaming</t>
  </si>
  <si>
    <t>MOBILE</t>
  </si>
  <si>
    <t>NAME</t>
  </si>
  <si>
    <t>CC</t>
  </si>
  <si>
    <t>3925</t>
  </si>
  <si>
    <t>TOTAL (GST EX)</t>
  </si>
  <si>
    <t>CC Totals</t>
  </si>
  <si>
    <t>021-665 300</t>
  </si>
  <si>
    <t>021-525-718</t>
  </si>
  <si>
    <t>Grant McPherson-ipad</t>
  </si>
  <si>
    <t>Grant McPherson cellphone July 2019:</t>
  </si>
  <si>
    <t>Grant McPherson cellphone August 2019:</t>
  </si>
  <si>
    <t>Grant McPherson cellphone September 2019:</t>
  </si>
  <si>
    <t>021 581 045</t>
  </si>
  <si>
    <t>Libby MacDonald</t>
  </si>
  <si>
    <t>Grant McPherson cellphone October 2019:</t>
  </si>
  <si>
    <t>Transaction Search - Company</t>
  </si>
  <si>
    <t>ANZ Bank New Zealand Limited, 01/02/2019 to 30/04/2019</t>
  </si>
  <si>
    <t>Tran Date</t>
  </si>
  <si>
    <t>Image(s)</t>
  </si>
  <si>
    <t>Supplier</t>
  </si>
  <si>
    <t>Last Approver</t>
  </si>
  <si>
    <t>Narrative Details</t>
  </si>
  <si>
    <t>Amount Excl</t>
  </si>
  <si>
    <t>Line</t>
  </si>
  <si>
    <t>Line Tax Amount</t>
  </si>
  <si>
    <t>Line Amount</t>
  </si>
  <si>
    <t>Scratch Bakers</t>
  </si>
  <si>
    <t>Matthew Penney</t>
  </si>
  <si>
    <t>Purchase Scratch Bakers - Mtg with Steven England Hall, Tourism NZ (no receipt)</t>
  </si>
  <si>
    <t>100</t>
  </si>
  <si>
    <t>Wilson Parking P1038</t>
  </si>
  <si>
    <t>Purchase Wilson Parking - - Meetings with marketing service providers in Auckland 27 &amp; 28 Feb 2019</t>
  </si>
  <si>
    <t>Domestic</t>
  </si>
  <si>
    <t>Wilson Parking</t>
  </si>
  <si>
    <t>Purchase Wilson Parking - Meetings with marketing service providers in Auckland 27 &amp; 28 Feb 2019</t>
  </si>
  <si>
    <t>Melba Victoria St</t>
  </si>
  <si>
    <t>Purchase Melba Victoria St - Breakfast Auckland trip NZDM Awards and meetings with mktg providers</t>
  </si>
  <si>
    <t>Wellington Intl Airp</t>
  </si>
  <si>
    <t>Purchase Wellington Intl Airport -parking re Meetings with marketing service providers in Auckland *</t>
  </si>
  <si>
    <t>Purchase Wilson Parking - parkings re meetings with marketing service providers in Auckland 27 &amp; 28 *</t>
  </si>
  <si>
    <t>The Northern Club</t>
  </si>
  <si>
    <t>Purchase The Northern Club - accommodation re NZDM Awards and meetings with marketing service provid *</t>
  </si>
  <si>
    <t>Auckland Transport</t>
  </si>
  <si>
    <t>Purchase Auckland Transport - Purchase Akl Airport Carpark - parking re ITENZ Board meeting and meet *</t>
  </si>
  <si>
    <t>Novotel Auckland Airport</t>
  </si>
  <si>
    <t>Purchase Novotel Auckland Airport -Purchase Akl Airport Carpark - parking re ITENZ Board meeting and *</t>
  </si>
  <si>
    <t>Akl Airport Carpark</t>
  </si>
  <si>
    <t>Purchase Akl Airport Carpark - parking re ITENZ Board meeting and meetings with providers 14 Feb</t>
  </si>
  <si>
    <t>Purchase Wilson Parking parking re ITENZ Board meeting and meetings with providers 14 Feb</t>
  </si>
  <si>
    <t>Grab *162870630-8-002</t>
  </si>
  <si>
    <t>Purchase (SGD 14.00) Grab *162870630-8-002 - Uber re Vietnam events and APAIE 21-28 March 2019</t>
  </si>
  <si>
    <t>Internaional</t>
  </si>
  <si>
    <t>Singapore</t>
  </si>
  <si>
    <t>Grab *162870630-8-003</t>
  </si>
  <si>
    <t>Purchase (SGD 32.00) Grab *162870630-8-003 re Vietnam events and APAIE 21-28 March 2019</t>
  </si>
  <si>
    <t>Brewerkz- Riverside Pt</t>
  </si>
  <si>
    <t>Purchase (SGD 48.25) Brewerkz- Riverside Pt - dinner 23/3 re Vietnam events and APAIE 21-28 March 20 *</t>
  </si>
  <si>
    <t>3710</t>
  </si>
  <si>
    <t>Sheraton Saigon Hotel&amp;tow</t>
  </si>
  <si>
    <t>Purchase (VND 13346350.00) Sheraton Saigon Hotel&amp;tow - accommodation re Vietnam events and APAIE 21- *</t>
  </si>
  <si>
    <t>Vietnam</t>
  </si>
  <si>
    <t>Maharajah Boat Quay</t>
  </si>
  <si>
    <t>Purchase (SGD 16.61) Maharajah Boat Quay - dinner 24/03 re Vietnam events and APAIE 21-28 March 2019 *</t>
  </si>
  <si>
    <t>Cafe Manuka</t>
  </si>
  <si>
    <t>Purchase (SGD 21.45) Cafe Manuka - Breakfast Singapore re Vietnam events and APAIE 21-28 March 2019</t>
  </si>
  <si>
    <t>Fairfax Subscriptions</t>
  </si>
  <si>
    <t>Purchase (AUD 272.69) Fairfax Subscriptions - Sydney Morning Herald</t>
  </si>
  <si>
    <t>3315</t>
  </si>
  <si>
    <t>Other</t>
  </si>
  <si>
    <t>Subscription</t>
  </si>
  <si>
    <t>Parkroyal On Pickerin-Fo</t>
  </si>
  <si>
    <t>Purchase (SGD 136.06) Parkroyal On Pickering - lunch and laundry re Vietnam events and APAIE 21-28 M *</t>
  </si>
  <si>
    <t>Green Cabs Limited</t>
  </si>
  <si>
    <t>Purchase Green Cabs Limited - airport to home following trip to Vietnam events and APAIE 21-28 March *</t>
  </si>
  <si>
    <t>Mandarin Oriental Kl</t>
  </si>
  <si>
    <t>-</t>
  </si>
  <si>
    <t>Purchase (MYR 2381.80) Mandarin Oriental Kl</t>
  </si>
  <si>
    <t>Purchase Auckland Transport</t>
  </si>
  <si>
    <t>Purchase Wellington Intl Airp</t>
  </si>
  <si>
    <t>Unapproved P-Card</t>
  </si>
  <si>
    <t>Robert Harris Bnz</t>
  </si>
  <si>
    <t>Purchase Robert Harris Bnz</t>
  </si>
  <si>
    <t>It will be disclosed after approval has been done</t>
  </si>
  <si>
    <t>The Christchurch Club</t>
  </si>
  <si>
    <t>Purchase The Christchurch Club</t>
  </si>
  <si>
    <t>Carepark Northterrace</t>
  </si>
  <si>
    <t>Purchase Carepark Northterrace</t>
  </si>
  <si>
    <t>Nafsa Events</t>
  </si>
  <si>
    <t>Purchase (USD 45.00) Nafsa Events</t>
  </si>
  <si>
    <t>Subtotal</t>
  </si>
  <si>
    <t>ANZ Bank New Zealand Limited, 01/03/2019 to 30/06/2019</t>
  </si>
  <si>
    <t>Accommodation in KL related to international business trip</t>
  </si>
  <si>
    <t>International</t>
  </si>
  <si>
    <t>Kuala Lumpur</t>
  </si>
  <si>
    <t>Taxi Transfers</t>
  </si>
  <si>
    <t>Short Term parking at Airport</t>
  </si>
  <si>
    <t>Short Term Parking at Airport WGN</t>
  </si>
  <si>
    <t>Christchurch</t>
  </si>
  <si>
    <t>Lunch in Christchurch - Clive Jones</t>
  </si>
  <si>
    <t>Accommodation in CHCH for business trip to attend meetings and liaise with CHCH Staff</t>
  </si>
  <si>
    <t>Parking meeting with Vietnamese delegation</t>
  </si>
  <si>
    <t>Local</t>
  </si>
  <si>
    <t>Fee for tickets to the NAFSA diversity luncheon attended with Lewis Gibson</t>
  </si>
  <si>
    <t>Washington DC</t>
  </si>
  <si>
    <t>Sterling Woodfire Eatery</t>
  </si>
  <si>
    <t>CE coffee meeting (offsite) with John Goulter and Doug Craig</t>
  </si>
  <si>
    <t>3425</t>
  </si>
  <si>
    <t>Tribeca Studios</t>
  </si>
  <si>
    <t>Accommodation in Buenos Aires for LatAm business trip</t>
  </si>
  <si>
    <t>LA00</t>
  </si>
  <si>
    <t>Buenos Aires</t>
  </si>
  <si>
    <t>Meals/Drinks in Buenos Aires</t>
  </si>
  <si>
    <t>Windsor Califonia Hote</t>
  </si>
  <si>
    <t>Accommodation Rio de Jeneiro</t>
  </si>
  <si>
    <t>Rio de Jeneiro</t>
  </si>
  <si>
    <t>Colombo E Paineiras Co</t>
  </si>
  <si>
    <t>Meals/Drink LatAm Business Trip May 2019 (Rio de Jeneiro)</t>
  </si>
  <si>
    <t>Uber Trip Help.Uber.Com</t>
  </si>
  <si>
    <t>Uber Transfer Airport -Home</t>
  </si>
  <si>
    <t>Uber Trip</t>
  </si>
  <si>
    <t>Uber fare in Washington</t>
  </si>
  <si>
    <t>Moms</t>
  </si>
  <si>
    <t>Dinner US Trip</t>
  </si>
  <si>
    <t>Renaissance Dc Dntown</t>
  </si>
  <si>
    <t>Accommodation in Washington DC NAFSA Trip</t>
  </si>
  <si>
    <t>Fishsmith</t>
  </si>
  <si>
    <t>Subway Spark Auckland Nz</t>
  </si>
  <si>
    <t>Lunch in Auckland</t>
  </si>
  <si>
    <t>Coffee Meeting with Mark Rushworth ACG</t>
  </si>
  <si>
    <t>Breakfast in Auckland</t>
  </si>
  <si>
    <t>New World Freemans Bay</t>
  </si>
  <si>
    <t>Dinner/Lunch Auckland</t>
  </si>
  <si>
    <t>Parking in Auckland</t>
  </si>
  <si>
    <t>Parking Wellington airport for Auckland Trip</t>
  </si>
  <si>
    <t>Accommodation Auckland Trip</t>
  </si>
  <si>
    <t>Seize</t>
  </si>
  <si>
    <t>Lunch Stakeholders and Comms - Update on NZ Inc and Ministerial Meetings</t>
  </si>
  <si>
    <t>Not disclose as expense provided to a person from Public Service</t>
  </si>
  <si>
    <t>Rise Cafe 2013 Limited</t>
  </si>
  <si>
    <t>Coffee with Grant Klinkum MOE (Transformational Plan)</t>
  </si>
  <si>
    <t>Attend Various Meetings</t>
  </si>
  <si>
    <t>Staff Meetings And Attend Germany Perception Event</t>
  </si>
  <si>
    <t>Mcdonadl</t>
  </si>
  <si>
    <t>Apie Vancouver 2020</t>
  </si>
  <si>
    <t>Voucher No</t>
  </si>
  <si>
    <t>Travel Purpose</t>
  </si>
  <si>
    <t>[30812081216001508]</t>
  </si>
  <si>
    <t xml:space="preserve">THETERRACE/BOWENAREA                                                                                                                                                                                                                                            </t>
  </si>
  <si>
    <t xml:space="preserve">DIXON/BOULCOTT AREA                                                                                                                                                                                                                                             </t>
  </si>
  <si>
    <t xml:space="preserve"> Concur Report for Company Card Transactions</t>
  </si>
  <si>
    <r>
      <rPr>
        <sz val="10"/>
        <color theme="1"/>
        <rFont val="Arial"/>
        <family val="2"/>
      </rPr>
      <t xml:space="preserve">Posted Date: </t>
    </r>
    <r>
      <rPr>
        <b/>
        <sz val="10"/>
        <color theme="1"/>
        <rFont val="Arial"/>
        <family val="2"/>
      </rPr>
      <t>Between Jul 1, 2019 and Oct 31, 2019</t>
    </r>
  </si>
  <si>
    <r>
      <rPr>
        <sz val="10"/>
        <color theme="1"/>
        <rFont val="Arial"/>
        <family val="2"/>
      </rPr>
      <t xml:space="preserve">Employee/s: </t>
    </r>
    <r>
      <rPr>
        <b/>
        <sz val="10"/>
        <color theme="1"/>
        <rFont val="Arial"/>
        <family val="2"/>
      </rPr>
      <t>McPherson, Grant</t>
    </r>
  </si>
  <si>
    <t>Vendor</t>
  </si>
  <si>
    <t>Comment(s)</t>
  </si>
  <si>
    <t>Foreign Currency</t>
  </si>
  <si>
    <t>Foreign Amount</t>
  </si>
  <si>
    <t>NZD Amount</t>
  </si>
  <si>
    <t>Tax Amount</t>
  </si>
  <si>
    <t>Net Tax Amount</t>
  </si>
  <si>
    <t>Account Code</t>
  </si>
  <si>
    <t>Approval Status</t>
  </si>
  <si>
    <t>Approver Name</t>
  </si>
  <si>
    <t>Receipt Status</t>
  </si>
  <si>
    <t>MELBA VICTORIA ST</t>
  </si>
  <si>
    <t>NZD</t>
  </si>
  <si>
    <t>Approved</t>
  </si>
  <si>
    <t>Penney, Matt</t>
  </si>
  <si>
    <t>Receipt</t>
  </si>
  <si>
    <t>DER METZ</t>
  </si>
  <si>
    <t>TAKEOFF ESPRESSO</t>
  </si>
  <si>
    <t>WELLINGTON INTL AIRP</t>
  </si>
  <si>
    <t>THE NORTHERN CLUB</t>
  </si>
  <si>
    <t>OLIVE</t>
  </si>
  <si>
    <t>3340</t>
  </si>
  <si>
    <t>Not disclose as expense provided to the person within the organisation (from Public Service)</t>
  </si>
  <si>
    <t>Annual Subscription to the Economist Magazine (Print and Digital)</t>
  </si>
  <si>
    <t>1947 EATERY</t>
  </si>
  <si>
    <t>Paul, Grant &amp; Richard</t>
  </si>
  <si>
    <t xml:space="preserve">Attend the NZIEC 2019 Conference </t>
  </si>
  <si>
    <t>SKYCITY GRANDHTL ADMIN</t>
  </si>
  <si>
    <t>NZIEC meals</t>
  </si>
  <si>
    <t>3 people</t>
  </si>
  <si>
    <t>None</t>
  </si>
  <si>
    <t>INDIA VISA</t>
  </si>
  <si>
    <t>Purchase of Indian Visa Online 
No Receipt provided as application is not yet complete.</t>
  </si>
  <si>
    <t>USD</t>
  </si>
  <si>
    <t>Korea &amp; India</t>
  </si>
  <si>
    <t xml:space="preserve">Meet with Immigration NZ Indian representative and present at ENZ team engagement live series in Mumbai </t>
  </si>
  <si>
    <t>Refunded due to online visa application declined non eligibility.  Re applied through paper based system.</t>
  </si>
  <si>
    <t>FLUID ESPRESSO</t>
  </si>
  <si>
    <t>Coffee</t>
  </si>
  <si>
    <t>Tax</t>
  </si>
  <si>
    <t>Dunedin</t>
  </si>
  <si>
    <t>meeting with universities representatives in Christchurch and Dunedin</t>
  </si>
  <si>
    <t>MOMONA GARAGE</t>
  </si>
  <si>
    <t>VOGEL ST KITCHEN</t>
  </si>
  <si>
    <t>Andy &amp; Grant</t>
  </si>
  <si>
    <t>FRANCESCA'S ITALIAN KIT</t>
  </si>
  <si>
    <t>EDEN CAFE</t>
  </si>
  <si>
    <t>EL FOGON</t>
  </si>
  <si>
    <t>LITTLE BREWS ESPRESSO</t>
  </si>
  <si>
    <t>Greg, Andy, Laura &amp; Grant</t>
  </si>
  <si>
    <t>GREEN CABS LTD</t>
  </si>
  <si>
    <t>AMAZONITA</t>
  </si>
  <si>
    <t>Lunch with Greg Scott re NZIEC, ROVE/TEC, Uni of Cantab</t>
  </si>
  <si>
    <t>PARKING SERVICES</t>
  </si>
  <si>
    <t>Cannot find receipt</t>
  </si>
  <si>
    <t>Meet with education representative</t>
  </si>
  <si>
    <t>BAKERY            1384252</t>
  </si>
  <si>
    <t>KRW</t>
  </si>
  <si>
    <t xml:space="preserve">Korea </t>
  </si>
  <si>
    <t>Explore higher education market development opportunities in Korea</t>
  </si>
  <si>
    <t>SQ*PRODRIVERSVISION</t>
  </si>
  <si>
    <t>Transfers in Japan from Airport to Hotel</t>
  </si>
  <si>
    <t>JPY</t>
  </si>
  <si>
    <t>Japan</t>
  </si>
  <si>
    <t>FOURSEASONSHOTELSEOUL</t>
  </si>
  <si>
    <t>Korea</t>
  </si>
  <si>
    <t>IMPERIAL HOTEL</t>
  </si>
  <si>
    <t>TAJ HOTELS INTERNATIONAL</t>
  </si>
  <si>
    <t>India</t>
  </si>
  <si>
    <t>BOOKSCETRA</t>
  </si>
  <si>
    <t>To be refunded to ENZ</t>
  </si>
  <si>
    <t>INR</t>
  </si>
  <si>
    <t xml:space="preserve">Not disclose - personal expense </t>
  </si>
  <si>
    <t>SOFITEL, BKC MUMBAI</t>
  </si>
  <si>
    <t>HARVARD*BUSINESS REVIE</t>
  </si>
  <si>
    <t>Subscription for HBR for Grant McPherson</t>
  </si>
  <si>
    <t>HARVARD BUSINESS REVIEW subscription</t>
  </si>
  <si>
    <t>UBER TRIP HELP.UBER.COM</t>
  </si>
  <si>
    <t>3905</t>
  </si>
  <si>
    <t>Not Submitted</t>
  </si>
  <si>
    <t>MOJO QUAY STREET</t>
  </si>
  <si>
    <t>WILSON P260 CUSTOMS</t>
  </si>
  <si>
    <t>ASTORIA CAFE</t>
  </si>
  <si>
    <r>
      <rPr>
        <sz val="10"/>
        <color theme="1"/>
        <rFont val="Arial"/>
        <family val="2"/>
      </rPr>
      <t xml:space="preserve">Posted Date: </t>
    </r>
    <r>
      <rPr>
        <b/>
        <sz val="10"/>
        <color theme="1"/>
        <rFont val="Arial"/>
        <family val="2"/>
      </rPr>
      <t>Between Oct 1, 2019 and Mar 31, 2020</t>
    </r>
  </si>
  <si>
    <t>Employee</t>
  </si>
  <si>
    <t>Journal Account Code</t>
  </si>
  <si>
    <t>Approved Date</t>
  </si>
  <si>
    <t>NA - Was an accidental charge that has now been reversed</t>
  </si>
  <si>
    <t>Not disclose</t>
  </si>
  <si>
    <t>Breakfast - Auckland trip</t>
  </si>
  <si>
    <t>Parking at Wellington airport for Auckland trip</t>
  </si>
  <si>
    <t>Parking Rental Vehicle - Auckland Trip</t>
  </si>
  <si>
    <t>Coffee Linda Sissons NZ (IST/ROVE update)</t>
  </si>
  <si>
    <t>WWW.ICSEVENTS.COM</t>
  </si>
  <si>
    <t>APAIE Vancouver 2020</t>
  </si>
  <si>
    <t>APAIE Vancouver 2020 Conference Dinner Ticket X1</t>
  </si>
  <si>
    <t>SALT CAFE LIMITED</t>
  </si>
  <si>
    <t>WILSON PARKING</t>
  </si>
  <si>
    <t>FISHSMITH</t>
  </si>
  <si>
    <t>No Receipt - Dinner in Auckland</t>
  </si>
  <si>
    <t>WILSON PARKING P1038</t>
  </si>
  <si>
    <t>DOWNTOWN CAR PARK</t>
  </si>
  <si>
    <t>BAGUETTE &amp; CO</t>
  </si>
  <si>
    <t>Breakfast/lunch</t>
  </si>
  <si>
    <t>PULLMAN AKL RECEPTION</t>
  </si>
  <si>
    <t>Emergency Accommodating booked by CEO in Auckland as Northern Club did not leave a key for Grant to check in as planned.</t>
  </si>
  <si>
    <t>UBER   *TRIP</t>
  </si>
  <si>
    <t>Personal expense made to ENZ CC in error, to be reimbursed</t>
  </si>
  <si>
    <t>AUD</t>
  </si>
  <si>
    <t>Maritim Hotels</t>
  </si>
  <si>
    <t>EUR</t>
  </si>
  <si>
    <t>Germany</t>
  </si>
  <si>
    <t>TINAKORI BISTRO</t>
  </si>
  <si>
    <t>Board dinner to farewell Karen and welcome Daniel</t>
  </si>
  <si>
    <t>110</t>
  </si>
  <si>
    <t>PAN PACIFIC HOTEL VANC</t>
  </si>
  <si>
    <t>APAIE cancelled but accommodation booking will be held over until 2021 conference</t>
  </si>
  <si>
    <t>CAD</t>
  </si>
  <si>
    <t>Submit Date</t>
  </si>
  <si>
    <t>FAIRFAX SUBSCRIPTIONS</t>
  </si>
  <si>
    <t>3405</t>
  </si>
  <si>
    <t>Cancellation Fee Excl Gst</t>
  </si>
  <si>
    <t>Cancellation Fee Incl Gst</t>
  </si>
  <si>
    <t>Note: The credit for APAIE had been disclosed in the 2019/20 CE's Expense Report, but not in the GL ledger.</t>
  </si>
  <si>
    <t>Cardholder Internal Reference</t>
  </si>
  <si>
    <t>Trip Provider</t>
  </si>
  <si>
    <t>Voucher Card Internal Reference</t>
  </si>
  <si>
    <t>Ed Tuari</t>
  </si>
  <si>
    <t>[30812081216001474]</t>
  </si>
  <si>
    <t xml:space="preserve">LAMBTON QUAY AREA                                                                                                                                                                                                                                               </t>
  </si>
  <si>
    <t>WELLINGTON COMBINED TAXIS</t>
  </si>
  <si>
    <t xml:space="preserve">ARO VALLEY AREA                                                                                                                                                                                                                                                 </t>
  </si>
  <si>
    <t xml:space="preserve">Newton                                                                                                                                                                                                                                                          </t>
  </si>
  <si>
    <t>AUCKLAND CO-OP TAXIS</t>
  </si>
  <si>
    <t>Voucher</t>
  </si>
  <si>
    <t>[]</t>
  </si>
  <si>
    <t>BRAND SESSION</t>
  </si>
  <si>
    <t xml:space="preserve">LAMBTON QUAY                                                                                                                                                                                                                                                    </t>
  </si>
  <si>
    <t xml:space="preserve">WRESTLER JESSIE ST                                                                                                                                                                                                                                              </t>
  </si>
  <si>
    <t xml:space="preserve">CRESTER JESSIE ST                                                                                                                                                                                                                                               </t>
  </si>
  <si>
    <t xml:space="preserve">160 LAMBTON QUAY                                                                                                                                                                                                                                                </t>
  </si>
  <si>
    <t xml:space="preserve">ZOO                                                                                                                                                                                                                                                             </t>
  </si>
  <si>
    <t xml:space="preserve">ENZ                                                                                                                                                                                                                                                             </t>
  </si>
  <si>
    <t>WELLINGTON COMBINED SHUTTLES</t>
  </si>
  <si>
    <t xml:space="preserve">WELLINGTON ZOO                                                                                                                                                                                                                                                  </t>
  </si>
  <si>
    <t xml:space="preserve">MN OF EDUCATION                                                                                                                                                                                                                                                 </t>
  </si>
  <si>
    <t>Taxi</t>
  </si>
  <si>
    <t xml:space="preserve">                                                                                                                                                                                                                                                                </t>
  </si>
  <si>
    <t>OTHER TAXI COMPANY</t>
  </si>
  <si>
    <t xml:space="preserve">62 VIVIAN ST                                                                                                                                                                                                                                                    </t>
  </si>
  <si>
    <t xml:space="preserve">MESH PRINT                                                                                                                                                                                                                                                      </t>
  </si>
  <si>
    <t>MARY CAMP</t>
  </si>
  <si>
    <t>[30812081216001417]</t>
  </si>
  <si>
    <t xml:space="preserve">NORTHLAND AREA                                                                                                                                                                                                                                                  </t>
  </si>
  <si>
    <t>TERESKA THORNTON</t>
  </si>
  <si>
    <t>[30812081216001532]</t>
  </si>
  <si>
    <t xml:space="preserve">JVILLE/CHURTONPKAREA                                                                                                                                                                                                                                            </t>
  </si>
  <si>
    <t xml:space="preserve">Fort St Area                                                                                                                                                                                                                                                    </t>
  </si>
  <si>
    <t xml:space="preserve">Downtown Akl Area                                                                                                                                                                                                                                               </t>
  </si>
  <si>
    <t xml:space="preserve">CITY                                                                                                                                                                                                                                                            </t>
  </si>
  <si>
    <t xml:space="preserve">SANDINGHAM                                                                                                                                                                                                                                                      </t>
  </si>
  <si>
    <t xml:space="preserve">Auckland Airport                                                                                                                                                                                                                                                </t>
  </si>
  <si>
    <t xml:space="preserve">CENTRAL CITY                                                                                                                                                                                                                                                    </t>
  </si>
  <si>
    <t xml:space="preserve">CHRISTCHURCH AIRPORT                                                                                                                                                                                                                                            </t>
  </si>
  <si>
    <t>BLUE STAR TAXIS</t>
  </si>
  <si>
    <t>Voucher Card</t>
  </si>
  <si>
    <t>[30812081216000310]</t>
  </si>
  <si>
    <t>Laura Lingard</t>
  </si>
  <si>
    <t xml:space="preserve">LOWER HUTT/PETONE                                                                                                                                                                                                                                               </t>
  </si>
  <si>
    <t xml:space="preserve">CITY SOUTH                                                                                                                                                                                                                                                      </t>
  </si>
  <si>
    <t>BRAND-VIDEO FILMING</t>
  </si>
  <si>
    <t xml:space="preserve">BELMONT LOWER HUTT                                                                                                                                                                                                                                              </t>
  </si>
  <si>
    <t xml:space="preserve">WGTN AIRPORT                                                                                                                                                                                                                                                    </t>
  </si>
  <si>
    <t>Laura Simpson</t>
  </si>
  <si>
    <t>[30812081216001516]</t>
  </si>
  <si>
    <t>Paul Irwin</t>
  </si>
  <si>
    <t>[30812081216001425]</t>
  </si>
  <si>
    <t xml:space="preserve">BOND/VICTORIASTAREA                                                                                                                                                                                                                                             </t>
  </si>
  <si>
    <t>BRAND TEAM MEETING</t>
  </si>
  <si>
    <t xml:space="preserve">JESSIE ST                                                                                                                                                                                                                                                       </t>
  </si>
  <si>
    <t xml:space="preserve">ORIENTAL BAY/ROSENTH                                                                                                                                                                                                                                            </t>
  </si>
  <si>
    <t xml:space="preserve">MANNER ST AREA                                                                                                                                                                                                                                                  </t>
  </si>
  <si>
    <t>LAURA BRAND FILMING</t>
  </si>
  <si>
    <t xml:space="preserve">AUCKLAND CBD                                                                                                                                                                                                                                                    </t>
  </si>
  <si>
    <t xml:space="preserve">AUCKLAND AIRPORT                                                                                                                                                                                                                                                </t>
  </si>
  <si>
    <t xml:space="preserve">AKL AIRPORT                                                                                                                                                                                                                                                     </t>
  </si>
  <si>
    <t xml:space="preserve">AKL CBD                                                                                                                                                                                                                                                         </t>
  </si>
  <si>
    <t>LAURA - BRAND FILMING</t>
  </si>
  <si>
    <t xml:space="preserve">WLG AIRPORT                                                                                                                                                                                                                                                     </t>
  </si>
  <si>
    <t xml:space="preserve">MT ROSKILL                                                                                                                                                                                                                                                      </t>
  </si>
  <si>
    <t xml:space="preserve">AIRPORT                                                                                                                                                                                                                                                         </t>
  </si>
  <si>
    <r>
      <rPr>
        <sz val="10"/>
        <color theme="1"/>
        <rFont val="Arial"/>
        <family val="2"/>
      </rPr>
      <t xml:space="preserve">Posted Date: </t>
    </r>
    <r>
      <rPr>
        <b/>
        <sz val="10"/>
        <color theme="1"/>
        <rFont val="Arial"/>
        <family val="2"/>
      </rPr>
      <t>Between Mar 1, 2020 and Jun 30, 2020</t>
    </r>
  </si>
  <si>
    <t>CE subscription to Sydney Morning Herald subscription. No receipt on hand.</t>
  </si>
  <si>
    <t>CAREPARK NORTHTERRACE</t>
  </si>
  <si>
    <t>Grant McPherson cellphone November 2019:</t>
  </si>
  <si>
    <t>Grant McPherson cellphone December 2019:</t>
  </si>
  <si>
    <t>Grant McPherson cellphone January 2020:</t>
  </si>
  <si>
    <t>Grant McPherson cellphone February 2020:</t>
  </si>
  <si>
    <t>Grant McPherson cellphone March 2020:</t>
  </si>
  <si>
    <t>Chief Executive:  Grant McPherson</t>
  </si>
  <si>
    <t>Travel Type:</t>
  </si>
  <si>
    <t>Travel Period:</t>
  </si>
  <si>
    <t>04/07/2019 - 05/07/2019</t>
  </si>
  <si>
    <t>Location:</t>
  </si>
  <si>
    <t>Purpose of Trip:</t>
  </si>
  <si>
    <t xml:space="preserve">Attend the 2019 Global Internship Conference </t>
  </si>
  <si>
    <t>Nature (eg hotel, airfares, taxis, meals)</t>
  </si>
  <si>
    <t>Expenditure Details</t>
  </si>
  <si>
    <t>GL Account</t>
  </si>
  <si>
    <t>Amount NZ$ (excl. GST)</t>
  </si>
  <si>
    <t xml:space="preserve">Date </t>
  </si>
  <si>
    <t>Airfares</t>
  </si>
  <si>
    <t>Orbit June invoice - travel fee</t>
  </si>
  <si>
    <t xml:space="preserve">Orbit June invoice - flight ticket </t>
  </si>
  <si>
    <t>Orbit July invoice - travel fee</t>
  </si>
  <si>
    <t>Orbit July invoice - flight ticket</t>
  </si>
  <si>
    <t>Accommodation</t>
  </si>
  <si>
    <t>P-Card July 2019 - THE NORTHERN CLUB - 1 night</t>
  </si>
  <si>
    <t>Rental car</t>
  </si>
  <si>
    <t>Orbit July invoice - one day</t>
  </si>
  <si>
    <t>Meals</t>
  </si>
  <si>
    <t xml:space="preserve">P-Card July 2019 - Lunch </t>
  </si>
  <si>
    <t>P-Card July 2019 - GIC Farewell Reception</t>
  </si>
  <si>
    <t>P-Card July 2019 - Breakfast</t>
  </si>
  <si>
    <t xml:space="preserve">P-Card July 2019 - WELLINGTON INTL AIRP </t>
  </si>
  <si>
    <t>Total Travel Expenses</t>
  </si>
  <si>
    <t>Prepared By</t>
  </si>
  <si>
    <t>Reviewed By</t>
  </si>
  <si>
    <t>06/08/2019 - 09/08/2019</t>
  </si>
  <si>
    <t>Attend NZIEC 2019 Conference and ENZ Board meeting</t>
  </si>
  <si>
    <t>Skycity - 3 nights</t>
  </si>
  <si>
    <t xml:space="preserve">Taxicharge invoice Aug 19 </t>
  </si>
  <si>
    <t>P-Card August 2019 - Dinner at Conference</t>
  </si>
  <si>
    <t>P-Card August 2019 - dinner post conference</t>
  </si>
  <si>
    <t>25/08/2019 - 30/08/2019</t>
  </si>
  <si>
    <t>Auckalnd, Christchurch and Dunedin</t>
  </si>
  <si>
    <t xml:space="preserve">Attend the Destination Auckland Industry Leaders meeting in Auckland </t>
  </si>
  <si>
    <t>and meeting with universities representatives in Christchurch and Dunedin</t>
  </si>
  <si>
    <t>Orbit August invoice - travel fee</t>
  </si>
  <si>
    <t xml:space="preserve">Orbit August invoice - flight ticket </t>
  </si>
  <si>
    <t>Orbit August invoice - Skycity 25-27 Aug (2 nights) &amp; meals</t>
  </si>
  <si>
    <t>Orbit August invoice - Distinction Christchurch 27-29 Aug (2 nights) &amp; meal</t>
  </si>
  <si>
    <t>Orbit August invoice - Skycity 29 Aug (1 night)</t>
  </si>
  <si>
    <t>Auckland/Wellington</t>
  </si>
  <si>
    <t>P-Card Aug 19 - AKL airport to city</t>
  </si>
  <si>
    <t>P-Card Aug 2019 - Coffee &amp; snack</t>
  </si>
  <si>
    <t>P-Card Aug 2019 - Breakfast (2 ppl)</t>
  </si>
  <si>
    <t>P-Card Aug 2019 - Lunch (2 ppl)</t>
  </si>
  <si>
    <t>P-Card Aug 2019 - Dinner (2 ppl)</t>
  </si>
  <si>
    <t xml:space="preserve">P-Card Aug 2019 - Team Coffees (4 ppl) </t>
  </si>
  <si>
    <t xml:space="preserve">P-Card Aug 2019 - Lunch (2ppl) </t>
  </si>
  <si>
    <t xml:space="preserve">P-Card Aug 2019 - Breakfast </t>
  </si>
  <si>
    <t>Orbit August invoice - 3 days</t>
  </si>
  <si>
    <t>P-Card Aug 19 - Petrol rental car</t>
  </si>
  <si>
    <t>16/09/2019 - 27/09/2019</t>
  </si>
  <si>
    <t>Japan, Korea and India</t>
  </si>
  <si>
    <t>Accompanying the Prime Minister delegation to Japan</t>
  </si>
  <si>
    <t>Explore the higher education market development opportunities and meet with the education sector and NZ Inc partners in Korea</t>
  </si>
  <si>
    <t>Attend the NZ Excellence Awards scholarship launch and meet with Immigration NZ representative in India</t>
  </si>
  <si>
    <t>Japan/Korea/India</t>
  </si>
  <si>
    <t>P-Card Sep 2019 - Four Season (3 nights)</t>
  </si>
  <si>
    <t>Seoul</t>
  </si>
  <si>
    <t>P-Card Sep 2019 - IMPERIAL HOTEL (3 nights)</t>
  </si>
  <si>
    <t>Tokyo</t>
  </si>
  <si>
    <t>Orbit August invoice - Taj Palace (2 nights)</t>
  </si>
  <si>
    <t>New Delhi</t>
  </si>
  <si>
    <t>Orbit August invoice - Sofitel (2 nights)</t>
  </si>
  <si>
    <t>Mumbai</t>
  </si>
  <si>
    <t xml:space="preserve">Taxicharge invoice September 19 </t>
  </si>
  <si>
    <t>P-Card Sep 2019 - Lunch</t>
  </si>
  <si>
    <t>P-Card Sep 2019 - Dinner (2 nights)</t>
  </si>
  <si>
    <t>24 - 26/09/2019</t>
  </si>
  <si>
    <t>Others</t>
  </si>
  <si>
    <t>P-Card Sep 2019 - Use of business centre</t>
  </si>
  <si>
    <t>Indian visa application fee</t>
  </si>
  <si>
    <t>Transportation</t>
  </si>
  <si>
    <t>P-Card Sep 2019 - Airport transfer</t>
  </si>
  <si>
    <t>??????</t>
  </si>
  <si>
    <t>Grant McPherson cellphone April 2020:</t>
  </si>
  <si>
    <t>Grant McPherson cellphone May 2020:</t>
  </si>
  <si>
    <t>Grant McPherson cellphone June 2020:</t>
  </si>
  <si>
    <t>Vodafone July 2020:</t>
  </si>
  <si>
    <t>Vodafone August 2020:</t>
  </si>
  <si>
    <t>Vodafone September 2020:</t>
  </si>
  <si>
    <t>Orbit October invoice - travel fee</t>
  </si>
  <si>
    <t xml:space="preserve">Orbit October invoice - flight ticket </t>
  </si>
  <si>
    <t>Orbit October invoice - 1 day</t>
  </si>
  <si>
    <t>Meal</t>
  </si>
  <si>
    <t>P-Card Oct 19: Breakfast - Auckland trip</t>
  </si>
  <si>
    <t>P-Card: Parking at Wellington airport</t>
  </si>
  <si>
    <t>P-Card: Parking Rental Vehicle - Auckland Trip</t>
  </si>
  <si>
    <t>10/01/2020 - 21/01/2020</t>
  </si>
  <si>
    <t>Accompanying the DAAD NZ delegation to Germany on transitioning to a low carbon economy</t>
  </si>
  <si>
    <t>Orbit October invoice - prepaid travel fee</t>
  </si>
  <si>
    <t xml:space="preserve">Orbit October invoice - Prepaid flight ticket </t>
  </si>
  <si>
    <t>P-Card Jan 20: Meals while in Germany for DAAD visit</t>
  </si>
  <si>
    <t>30/11/2021 11:47 AM</t>
  </si>
  <si>
    <t>Period: 01/07/21..30/11/21</t>
  </si>
  <si>
    <t>G/L Account: Income/Balance: Income Statement, Date Filter: 01/07/21..30/11/21</t>
  </si>
  <si>
    <t>07/07/21</t>
  </si>
  <si>
    <t>PPINV02625</t>
  </si>
  <si>
    <t>Chartered Accountant - Annual Subscription Fee 2021-2022</t>
  </si>
  <si>
    <t>Chartered Accountants Australia &amp; NZ</t>
  </si>
  <si>
    <t>Invoice PINV02360</t>
  </si>
  <si>
    <t>14/07/21</t>
  </si>
  <si>
    <t>EM-PEXP-12196</t>
  </si>
  <si>
    <t>GRANT.MCPHERSON - Economist subscription</t>
  </si>
  <si>
    <t>09/11/21</t>
  </si>
  <si>
    <t>EM-PEXP-12851</t>
  </si>
  <si>
    <t>GRANT.MCPHERSON - Harvard Business Review subscription</t>
  </si>
  <si>
    <t>31/08/21</t>
  </si>
  <si>
    <t>G01319</t>
  </si>
  <si>
    <t>Accrue Orbit Travel Costs August 2021</t>
  </si>
  <si>
    <t>01/09/21</t>
  </si>
  <si>
    <t>G01323</t>
  </si>
  <si>
    <t>01/08/21</t>
  </si>
  <si>
    <t>PPINV02905</t>
  </si>
  <si>
    <t>Air Fares Mcpherson Grant Akl Meetings An AKL 26Aug21</t>
  </si>
  <si>
    <t>Invoice PINV02618</t>
  </si>
  <si>
    <t>Air Fares Mcpherson Grant Chc Conference AKL 15Sep21</t>
  </si>
  <si>
    <t>Air Fares Mcpherson Grant Attend Internatio AKL 12Jul21</t>
  </si>
  <si>
    <t>PPINV03136</t>
  </si>
  <si>
    <t>Air Fares Mcpherson Grant Akl Meetings An AKL 25Aug21</t>
  </si>
  <si>
    <t>Invoice PINV02861</t>
  </si>
  <si>
    <t>Air Fares Tuari Edward Attend Rauku M WLG 28Jun21</t>
  </si>
  <si>
    <t>01/11/21</t>
  </si>
  <si>
    <t>PPC000085</t>
  </si>
  <si>
    <t>Credit Memo PPC000085</t>
  </si>
  <si>
    <t>PPINV03510</t>
  </si>
  <si>
    <t>Air Tickets Mcpherson Grant Attend Waikato HLZ 09Nov21</t>
  </si>
  <si>
    <t>Invoice PINV03236</t>
  </si>
  <si>
    <t>06/07/21</t>
  </si>
  <si>
    <t>EM-PEXP-12282</t>
  </si>
  <si>
    <t>GRANT.MCPHERSON - coffee at Gisborne airport</t>
  </si>
  <si>
    <t>Trip to Gisborne</t>
  </si>
  <si>
    <t>12/07/21</t>
  </si>
  <si>
    <t>EM-PEXP-12285</t>
  </si>
  <si>
    <t>GRANT.MCPHERSON - Dinner while on working trip</t>
  </si>
  <si>
    <t>13/07/21</t>
  </si>
  <si>
    <t>EM-PEXP-12284</t>
  </si>
  <si>
    <t>GRANT.MCPHERSON - BAGUETTE &amp; CO</t>
  </si>
  <si>
    <t>29/07/21</t>
  </si>
  <si>
    <t>PPINV02654</t>
  </si>
  <si>
    <t>Accommodation in Auckland while on business</t>
  </si>
  <si>
    <t>Invoice PINV02399</t>
  </si>
  <si>
    <t>EM-PEXP-12346</t>
  </si>
  <si>
    <t>GRANT.MCPHERSON - Beverage for post event meeting with CE NZ Story</t>
  </si>
  <si>
    <t>ACCOMM Tuari Edward Enz Matariki Cel WLG 08Jul21</t>
  </si>
  <si>
    <t>ACCOMM Tuari Edward Attend Esg Mee WLG 23Jun21</t>
  </si>
  <si>
    <t>Other Expesnes Mcpherson Grant Akl Meetings An AKL 26Aug21</t>
  </si>
  <si>
    <t>Other Expesnes Mcpherson Grant Chc Conference AKL 15Sep21</t>
  </si>
  <si>
    <t>Other Expesnes Mcpherson Grant Attend Internatio AKL 12Jul21</t>
  </si>
  <si>
    <t>Other Expesnes Tuari Edward Enz Matariki Cel WLG 08Jul21</t>
  </si>
  <si>
    <t>Tuari Edward Attend Esg Mee WLG 23Jun21</t>
  </si>
  <si>
    <t>Other Expesnes Mcpherson Grant Akl Meetings An AKL 25Aug21</t>
  </si>
  <si>
    <t>Other Expesnes Tuari Edward Attend Rauku M WLG 28Jun21</t>
  </si>
  <si>
    <t>30/09/21</t>
  </si>
  <si>
    <t>PPINV03141</t>
  </si>
  <si>
    <t>Return travel, Palmerston North to Paekakariki, 21 September</t>
  </si>
  <si>
    <t>Steve Maharey</t>
  </si>
  <si>
    <t>Invoice PINV02869</t>
  </si>
  <si>
    <t>Other Expesnes Mcpherson Grant Attend Waikato HLZ 09Nov21</t>
  </si>
  <si>
    <t>04/07/21</t>
  </si>
  <si>
    <t>EM-PEXP-12164</t>
  </si>
  <si>
    <t>05/07/21</t>
  </si>
  <si>
    <t>EM-PEXP-12163</t>
  </si>
  <si>
    <t>EM-PEXP-12167</t>
  </si>
  <si>
    <t>08/07/21</t>
  </si>
  <si>
    <t>EM-PEXP-12165</t>
  </si>
  <si>
    <t>EM-PEXP-12166</t>
  </si>
  <si>
    <t>EM-PEXP-12171</t>
  </si>
  <si>
    <t>EM-PEXP-12283</t>
  </si>
  <si>
    <t>GRANT.MCPHERSON - Wellington airport parking</t>
  </si>
  <si>
    <t>EM-PEXP-12195</t>
  </si>
  <si>
    <t>GRANT.MCPHERSON - Airport parking Wellington</t>
  </si>
  <si>
    <t>EM-PEXP-12312</t>
  </si>
  <si>
    <t>GRANT.MCPHERSON - Parking while in Auckland for Intl Ed Forum</t>
  </si>
  <si>
    <t>15/07/21</t>
  </si>
  <si>
    <t>G01301</t>
  </si>
  <si>
    <t>McPherson 60583</t>
  </si>
  <si>
    <t>Rental Car Hertz Rent Mcpherson Grant Attend Internatio AKL 12Jul21</t>
  </si>
  <si>
    <t>International Travel - Accommodation &amp; Meals</t>
  </si>
  <si>
    <t>G01304</t>
  </si>
  <si>
    <t>GRANT.MCPHERSON - PAN PACIFIC HOTEL VANC</t>
  </si>
  <si>
    <t>PPINV02699</t>
  </si>
  <si>
    <t xml:space="preserve">BUSINESS CARDS for Karim </t>
  </si>
  <si>
    <t>FISHER PRINT 1897 LIMITED</t>
  </si>
  <si>
    <t>Invoice PINV02429</t>
  </si>
  <si>
    <t>13/10/21</t>
  </si>
  <si>
    <t>PPINV03258</t>
  </si>
  <si>
    <t>Lunch bags for all day meeting</t>
  </si>
  <si>
    <t>Invoice PINV02994</t>
  </si>
  <si>
    <t>21/10/21</t>
  </si>
  <si>
    <t>PPINV03361</t>
  </si>
  <si>
    <t xml:space="preserve"> Board Meeting Morning Tea - 21.10.21</t>
  </si>
  <si>
    <t>Invoice PINV03035</t>
  </si>
  <si>
    <t>PPINV03502</t>
  </si>
  <si>
    <t>SLT Monthly Meeting</t>
  </si>
  <si>
    <t>Invoice PINV03191</t>
  </si>
  <si>
    <t>31/07/21</t>
  </si>
  <si>
    <t>PPINV02732</t>
  </si>
  <si>
    <t>LEGAL SERVICES July 2021</t>
  </si>
  <si>
    <t>Rachel Burt Barrister</t>
  </si>
  <si>
    <t>Invoice PINV02476</t>
  </si>
  <si>
    <t>PPINV03093</t>
  </si>
  <si>
    <t>LEGAL SERVICES August 2021</t>
  </si>
  <si>
    <t>Invoice PINV02804</t>
  </si>
  <si>
    <t>01/10/21</t>
  </si>
  <si>
    <t>PPINV03235</t>
  </si>
  <si>
    <t>LEGAL SERVICES Sept 2021</t>
  </si>
  <si>
    <t>Invoice PINV02903</t>
  </si>
  <si>
    <t>Matt Penney</t>
  </si>
  <si>
    <t>21/03/2022 2:49 PM</t>
  </si>
  <si>
    <t>Period: 01/12/21..28/02/22</t>
  </si>
  <si>
    <t>G/L Account: Date Filter: 01/12/21..28/02/22</t>
  </si>
  <si>
    <t>01/12/21</t>
  </si>
  <si>
    <t>PPINV03712</t>
  </si>
  <si>
    <t>Leadership Team Coaching</t>
  </si>
  <si>
    <t>Invoice PINV03399</t>
  </si>
  <si>
    <t>for SLT members</t>
  </si>
  <si>
    <t>07/12/21</t>
  </si>
  <si>
    <t>PPINV03718</t>
  </si>
  <si>
    <t>Vogel paper bag lunch 13/12/2021</t>
  </si>
  <si>
    <t>Invoice PINV03436</t>
  </si>
  <si>
    <t>lunch for SLT meeting</t>
  </si>
  <si>
    <t>01/01/22</t>
  </si>
  <si>
    <t>PPINV03911</t>
  </si>
  <si>
    <t>Air Fares Grant Mcpherson 19/01/22 Expo2020</t>
  </si>
  <si>
    <t>Invoice PINV03616</t>
  </si>
  <si>
    <t>trip was cancelled - to be refunded</t>
  </si>
  <si>
    <t>Air Fares Grant Mcpherson  03/02/22 Expo2020</t>
  </si>
  <si>
    <t>03/12/21</t>
  </si>
  <si>
    <t>EM-PEXP-13052</t>
  </si>
  <si>
    <t>GRANT.MCPHERSON - Coffee meeting with Updraft consulting</t>
  </si>
  <si>
    <t>Other Expesnes Grant Mcpherson 19/01/22 Expo2020</t>
  </si>
  <si>
    <t>31/12/21</t>
  </si>
  <si>
    <t>PPINV03874</t>
  </si>
  <si>
    <t>Taxis Courtney Pl Wadestown</t>
  </si>
  <si>
    <t>Invoice PINV03576</t>
  </si>
  <si>
    <t>22/01/22</t>
  </si>
  <si>
    <t>EM-PEXP-13224</t>
  </si>
  <si>
    <t>ED.TUARI - NATIONAL TAXI</t>
  </si>
  <si>
    <t>EXPO22</t>
  </si>
  <si>
    <t>31/01/22</t>
  </si>
  <si>
    <t>G01987</t>
  </si>
  <si>
    <t>ED.TUARI - DUBAI TAXI</t>
  </si>
  <si>
    <t>01/02/22</t>
  </si>
  <si>
    <t>EM-PEXP-13292</t>
  </si>
  <si>
    <t>GRANT.MCPHERSON - Parking for meeting w/ Aust High Commissioner</t>
  </si>
  <si>
    <t>Travel - Local</t>
  </si>
  <si>
    <t>Intern Air Fares  Grant Mcpherson 19/01/22 Expo2020</t>
  </si>
  <si>
    <t>24/01/22</t>
  </si>
  <si>
    <t>EM-PEXP-13226</t>
  </si>
  <si>
    <t>09/12/21</t>
  </si>
  <si>
    <t>G01624</t>
  </si>
  <si>
    <t>Karim Dickie - Catering for Crown Entity Board Secretary and EA to CE end of year get-together</t>
  </si>
  <si>
    <t>PPINV03738</t>
  </si>
  <si>
    <t>Strategic Pay Consulting Services - Organisational Review</t>
  </si>
  <si>
    <t>STRATEGIC PAY HOLDINGS LIMITED</t>
  </si>
  <si>
    <t>Invoice PINV03452</t>
  </si>
  <si>
    <t>23/12/21</t>
  </si>
  <si>
    <t>PPINV03810</t>
  </si>
  <si>
    <t>Job No: 3809 Name: Structure Review Professional Services of Stephanie Ellis and Rachel</t>
  </si>
  <si>
    <t>Invoice PINV03503</t>
  </si>
  <si>
    <t>8/04/2022 1:09 PM</t>
  </si>
  <si>
    <t>Period: 01/03/22..31/03/22</t>
  </si>
  <si>
    <t>G/L Account: Income/Balance: Income Statement, Date Filter: 01/03/22..31/03/22</t>
  </si>
  <si>
    <t>01/03/22</t>
  </si>
  <si>
    <t>PPINV04379</t>
  </si>
  <si>
    <t>Travel Fees Mcpherson Grant Chc Conference And Meetings In Akld</t>
  </si>
  <si>
    <t>Invoice PINV04106</t>
  </si>
  <si>
    <t>Cancellation for the trip to AKL &amp; CHCH in September</t>
  </si>
  <si>
    <t>31/03/22</t>
  </si>
  <si>
    <t>G02366</t>
  </si>
  <si>
    <t>Accrue Orbit Travel Costs in March 2022</t>
  </si>
  <si>
    <t>Cancellation fee for the trip to HLZ in November</t>
  </si>
  <si>
    <t>Air Fares Mcpherson Grant Chc Conference And Meetings In Akld 15/09/21</t>
  </si>
  <si>
    <t>N/A</t>
  </si>
  <si>
    <t>EM-PEXP-13396</t>
  </si>
  <si>
    <t>GRANT.MCPHERSON - Breakfast meeting with new Board member</t>
  </si>
  <si>
    <t>EM-PEXP-13398</t>
  </si>
  <si>
    <t>GRANT.MCPHERSON - Meeting Australian High Commissioner/no receipt</t>
  </si>
  <si>
    <t>EM-PEXP-13397</t>
  </si>
  <si>
    <t>GRANT.MCPHERSON - COVID-19 pre departure test</t>
  </si>
  <si>
    <t>EM-PEXP-13399</t>
  </si>
  <si>
    <t>GRANT.MCPHERSON - COVID-19 pre departure test refund</t>
  </si>
  <si>
    <t>Wlg</t>
  </si>
  <si>
    <t>Attend International Education Forum In Auckland</t>
  </si>
  <si>
    <t>Adm</t>
  </si>
  <si>
    <t>Akl Meetings And Attend Amchan Awards</t>
  </si>
  <si>
    <t>Chc Conference And Meetings In Akld</t>
  </si>
  <si>
    <t>Attend Waikato Cardiff Uni Signing Ceremony</t>
  </si>
  <si>
    <t>Cancellation fees</t>
  </si>
  <si>
    <t>Karim confirmed this trip has been cancelled - waiting for the credit from Orbit</t>
  </si>
  <si>
    <t>Hamilton</t>
  </si>
  <si>
    <t>CompanyName</t>
  </si>
  <si>
    <t>FolderNumber</t>
  </si>
  <si>
    <t>InvoiceNumber</t>
  </si>
  <si>
    <t>PaxName</t>
  </si>
  <si>
    <t>InvoiceDate</t>
  </si>
  <si>
    <t>DepartureDate</t>
  </si>
  <si>
    <t>Market</t>
  </si>
  <si>
    <t>HotelRoomNights</t>
  </si>
  <si>
    <t>ItemDescription</t>
  </si>
  <si>
    <t>AmountExclGST</t>
  </si>
  <si>
    <t>AmountInclGST</t>
  </si>
  <si>
    <t>ApproverName</t>
  </si>
  <si>
    <t>BookedBy</t>
  </si>
  <si>
    <t>ReportingValue1</t>
  </si>
  <si>
    <t>ReportingValue2</t>
  </si>
  <si>
    <t>ReportingValue3</t>
  </si>
  <si>
    <t>ReportingValue4</t>
  </si>
  <si>
    <t>ReportingValue5</t>
  </si>
  <si>
    <t>Quantity</t>
  </si>
  <si>
    <t>WO10011</t>
  </si>
  <si>
    <t>Grant Mcpherson</t>
  </si>
  <si>
    <t>03/02/22</t>
  </si>
  <si>
    <t>TKT NO:4898288177</t>
  </si>
  <si>
    <t>Expo2020</t>
  </si>
  <si>
    <t>Staff</t>
  </si>
  <si>
    <t>19/01/22</t>
  </si>
  <si>
    <t>TKT NO:4898288179</t>
  </si>
  <si>
    <t>International Offline Simple Fee</t>
  </si>
  <si>
    <t>TKT NO:4898288178</t>
  </si>
  <si>
    <t>(This business trip was cancelled, and waiting for the credit from Orbit)</t>
  </si>
  <si>
    <t>Subtoal</t>
  </si>
  <si>
    <t>(This business trip was cancelled due to COVID-19 Alerts level increased)</t>
  </si>
  <si>
    <t>WO10844</t>
  </si>
  <si>
    <t>Cancellation Fee - Domestic - Grant Mcpherson</t>
  </si>
  <si>
    <t>ATTEND WAIKATO CARDIFF UNI SIGNING CEREMONY</t>
  </si>
  <si>
    <t>Approved by</t>
  </si>
  <si>
    <t>Code</t>
  </si>
  <si>
    <t>ACCOM/MEALS/OTH-DOM</t>
  </si>
  <si>
    <t>Beverage at Gisborne airport - Coffee</t>
  </si>
  <si>
    <t>Wellington airport parking</t>
  </si>
  <si>
    <t>Dinner while on working trip</t>
  </si>
  <si>
    <t>Parking while in Auckland for Intl Ed Forum</t>
  </si>
  <si>
    <t>Airport parking Wellington</t>
  </si>
  <si>
    <t>SUBSCRIP-PROF DEV</t>
  </si>
  <si>
    <t>Economist subscription</t>
  </si>
  <si>
    <t>Beverage for post event meeting with CE NZ Story - Wine</t>
  </si>
  <si>
    <t>Harvard Business Review subscription</t>
  </si>
  <si>
    <t>Disclose in CE's expenses</t>
  </si>
  <si>
    <t>Coffee meeting with Updraft consulting</t>
  </si>
  <si>
    <t>Parking for meeting w/ Aust High Commissioner</t>
  </si>
  <si>
    <t>Breakfast meeting with new Board member</t>
  </si>
  <si>
    <t>N/A - with ENZ Board member</t>
  </si>
  <si>
    <t>ACCOM/MEALS/OTH-INT</t>
  </si>
  <si>
    <t>COVID-19 pre departure test</t>
  </si>
  <si>
    <t>Cancelled</t>
  </si>
  <si>
    <t>Meeting Australian High Commissioner/no receipt</t>
  </si>
  <si>
    <t>COVID-19 pre departure test refund</t>
  </si>
  <si>
    <t>SUSP-FINANCEONLY</t>
  </si>
  <si>
    <t>CREDIT BALANCE REFUND - TO ENZ</t>
  </si>
  <si>
    <t>Entry No.</t>
  </si>
  <si>
    <t>Payment Type</t>
  </si>
  <si>
    <t xml:space="preserve">Cost Centre </t>
  </si>
  <si>
    <t>Amount Excl. GST</t>
  </si>
  <si>
    <t>CE's Expense Disclosure</t>
  </si>
  <si>
    <t>CORPORATE CARD</t>
  </si>
  <si>
    <t>Coffee meeting with Chris Whelan UNZ</t>
  </si>
  <si>
    <t>Breakfast in Dunedin on business travel</t>
  </si>
  <si>
    <t>Domestic travel - Dunedin</t>
  </si>
  <si>
    <t>Dinner in Christchurch on business travel</t>
  </si>
  <si>
    <t>Domestic travel - Christchurch</t>
  </si>
  <si>
    <t>Fuel top up for rental car</t>
  </si>
  <si>
    <t>Dinner in Auckland on business travel</t>
  </si>
  <si>
    <t>Domestic travel - Auckland</t>
  </si>
  <si>
    <t>TAXI</t>
  </si>
  <si>
    <t>Parking at University of Auckland for business</t>
  </si>
  <si>
    <t>Lunch in London on business</t>
  </si>
  <si>
    <t>GBP</t>
  </si>
  <si>
    <t>International travel - London</t>
  </si>
  <si>
    <t>Beverage in London on business travel</t>
  </si>
  <si>
    <t>Lunch in London on business travel</t>
  </si>
  <si>
    <t>Breakfast in London on business</t>
  </si>
  <si>
    <t>Taxi travel in London on business</t>
  </si>
  <si>
    <t>Taxi transport in London while on business</t>
  </si>
  <si>
    <t>Taxi travel in Barcelona for business</t>
  </si>
  <si>
    <t>Accommodation in London for business  travel</t>
  </si>
  <si>
    <t>Dinner in Barcelona on business travel</t>
  </si>
  <si>
    <t>Lunch in Barcelona on business</t>
  </si>
  <si>
    <t>International travel - Barcelona</t>
  </si>
  <si>
    <t>Taxi travel in Barcelona on business travel</t>
  </si>
  <si>
    <t>Accommodation in Barcelona for EAIE</t>
  </si>
  <si>
    <t>Total excl. GST:</t>
  </si>
  <si>
    <t>Vodafone charges from 1 December 2021 to 31 March 2022:</t>
  </si>
  <si>
    <t>Vendor ID: TELS001</t>
  </si>
  <si>
    <t>(Invoice ID: PPINV03797)</t>
  </si>
  <si>
    <t>(Invoice ID: PPINV03952)</t>
  </si>
  <si>
    <t>(Invoice ID: PPINV04133)</t>
  </si>
  <si>
    <t>(Invoice ID: PPINV04341)</t>
  </si>
  <si>
    <t>11/11/2020 - 13/11/2020</t>
  </si>
  <si>
    <t>Meeting with education representatives in Auckland for two days</t>
  </si>
  <si>
    <t>Orbit November invoice</t>
  </si>
  <si>
    <t>Accommodation &amp; Meal</t>
  </si>
  <si>
    <t>GRANT.MCPHERSON - BADUZZI - Dinner with Paul Irwin in Auckland (2 ppls)</t>
  </si>
  <si>
    <t>Disclosure period:  01/12/2020 - 31/03/2021</t>
  </si>
  <si>
    <t>Auckland, Hamilton</t>
  </si>
  <si>
    <t>Visiting to the Te Pukenga and Waikato University</t>
  </si>
  <si>
    <t>Orbit February invoice</t>
  </si>
  <si>
    <t>airfares</t>
  </si>
  <si>
    <t>booking fee</t>
  </si>
  <si>
    <t>Orbit March invoice</t>
  </si>
  <si>
    <t>Disclosure period:  1/12/2021 - 31/03/2022</t>
  </si>
  <si>
    <t>Attend Chc Conference And Meetings In Auckland</t>
  </si>
  <si>
    <t>Orbit invoice Jul-21</t>
  </si>
  <si>
    <t xml:space="preserve">airfares </t>
  </si>
  <si>
    <t>Orbit invoice Feb-21</t>
  </si>
  <si>
    <t>cancellation fee</t>
  </si>
  <si>
    <t>Disclosure period:  01/07/2021 - 30/11/2021</t>
  </si>
  <si>
    <t>- online event airfare will be refunded</t>
  </si>
  <si>
    <t>Orbit invoice Oct-21</t>
  </si>
  <si>
    <t>Trip was cancelled, airfare to be refunded</t>
  </si>
  <si>
    <t>Cancellation fee</t>
  </si>
  <si>
    <t>20/03/2020 - 27/03/2020</t>
  </si>
  <si>
    <t>Canada</t>
  </si>
  <si>
    <t>Attend the APAIE 2020 Conference &amp; Exhibition</t>
  </si>
  <si>
    <t>Orbit March invoice - prepaid travel fee</t>
  </si>
  <si>
    <t xml:space="preserve">Orbit March invoice - Prepaid flight ticket </t>
  </si>
  <si>
    <t>Orbit April invoice - travel fee</t>
  </si>
  <si>
    <t>Orbit April invoice - refund flight ticket</t>
  </si>
  <si>
    <t>Conference dinner</t>
  </si>
  <si>
    <t>P-Card Nov 19: APAIE Vancouver 2020 Conference Dinner Ticket X1</t>
  </si>
  <si>
    <t>Orbit booking fee</t>
  </si>
  <si>
    <t>Acting Chief Executive Expenses, Gifts and Benefits Disclosure - summary &amp; sign-off</t>
  </si>
  <si>
    <t>All expenses incurred by acting chief executive during international, domestic and local travel. Group expenses relating to each trip.</t>
  </si>
  <si>
    <t>All hospitality expenses provided by the acting chief executive in the context of his/her job to anyone external to the Public Service or statutory Crown entities.</t>
  </si>
  <si>
    <t>All other expenditure incurred by the acting chief executive that is not travel, hospitality or gifts.
Include e.g. phone and data costs, subscriptions, membership fees, conference fees, professional development costs, books and anything else.</t>
  </si>
  <si>
    <r>
      <rPr>
        <b/>
        <i/>
        <sz val="10"/>
        <color theme="1"/>
        <rFont val="Arial"/>
        <family val="2"/>
      </rPr>
      <t>Include all gifts, invitations to events and other hospitality</t>
    </r>
    <r>
      <rPr>
        <i/>
        <sz val="10"/>
        <color theme="1"/>
        <rFont val="Arial"/>
        <family val="2"/>
      </rPr>
      <t xml:space="preserve">, of $50 or more in total value per year, offered to the acting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</si>
  <si>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Car parking charge for attending Day 2</t>
  </si>
  <si>
    <t>Car parking charge for attending Day 3</t>
  </si>
  <si>
    <t>Taxi charge to Government House for attending the State Dinner with the President of India.</t>
  </si>
  <si>
    <t>Coffee for 2 people</t>
  </si>
  <si>
    <t xml:space="preserve">Return airfare booked between Wellington and Auckland </t>
  </si>
  <si>
    <t>To visit Orakei Marae in Auckland as part of Kete Kete experience</t>
  </si>
  <si>
    <t xml:space="preserve">Credit from Orbit for cancelling the airfare reservation </t>
  </si>
  <si>
    <t>Orbit fee for cancelling the airfare reservation</t>
  </si>
  <si>
    <t xml:space="preserve">Meeting with Linda Te Puni - MFAT New Zealand High Commissioner to the Caribbean </t>
  </si>
  <si>
    <t>Attending New Zealand International Education Conference - NZIEC KI TUA 2024</t>
  </si>
  <si>
    <t>6 - 8 August 2024</t>
  </si>
  <si>
    <t xml:space="preserve">Car parking charge for attending the Welcome function </t>
  </si>
  <si>
    <t xml:space="preserve">President of India </t>
  </si>
  <si>
    <t xml:space="preserve">1 Shawl </t>
  </si>
  <si>
    <t>An offsite all day meeting for an employee matter</t>
  </si>
  <si>
    <t xml:space="preserve">Light refreshments for 6 people </t>
  </si>
  <si>
    <t>No other expenses incurred</t>
  </si>
  <si>
    <t>No International Travel incurred</t>
  </si>
  <si>
    <t>This disclosure has been approved by the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</si>
</sst>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 numFmtId="169" formatCode="#,##0.00_ ;\-#,##0.00\ "/>
    <numFmt numFmtId="170" formatCode="#,##0.00;\-#,##0.00;;@"/>
    <numFmt numFmtId="171" formatCode="dd\-mmm\-yyyy"/>
    <numFmt numFmtId="172" formatCode="_-* #,##0.0_-;\-* #,##0.0_-;_-* &quot;-&quot;??_-;_-@_-"/>
    <numFmt numFmtId="173" formatCode="General_)"/>
    <numFmt numFmtId="174" formatCode="&quot;$&quot;###,###,##0.00"/>
    <numFmt numFmtId="175" formatCode="mmm\ d\,\ yyyy"/>
    <numFmt numFmtId="176" formatCode="#,##0.0_ ;\-#,##0.0\ "/>
    <numFmt numFmtId="177" formatCode="[$-11409]#,##0.00"/>
    <numFmt numFmtId="178" formatCode="dd/mm/yyyy"/>
    <numFmt numFmtId="179" formatCode="&quot;$&quot;#,##0.00;[Red]&quot;$&quot;#,##0.00"/>
  </numFmts>
  <fonts count="13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b/>
      <sz val="11"/>
      <color theme="1"/>
      <name val="Calibri"/>
      <family val="2"/>
      <scheme val="minor"/>
    </font>
    <font>
      <b/>
      <u/>
      <sz val="12"/>
      <color indexed="8"/>
      <name val="Calibri"/>
      <family val="2"/>
      <scheme val="minor"/>
    </font>
    <font>
      <sz val="10"/>
      <color indexed="8"/>
      <name val="Calibri"/>
      <family val="2"/>
      <scheme val="minor"/>
    </font>
    <font>
      <b/>
      <sz val="12"/>
      <color indexed="8"/>
      <name val="Calibri"/>
      <family val="2"/>
      <scheme val="minor"/>
    </font>
    <font>
      <b/>
      <sz val="11"/>
      <color indexed="8"/>
      <name val="Calibri"/>
      <family val="2"/>
      <scheme val="minor"/>
    </font>
    <font>
      <b/>
      <sz val="9"/>
      <color indexed="8"/>
      <name val="Calibri"/>
      <family val="2"/>
      <scheme val="minor"/>
    </font>
    <font>
      <sz val="10"/>
      <name val="Calibri"/>
      <family val="2"/>
      <scheme val="minor"/>
    </font>
    <font>
      <sz val="9"/>
      <color indexed="8"/>
      <name val="Calibri"/>
      <family val="2"/>
      <scheme val="minor"/>
    </font>
    <font>
      <b/>
      <sz val="10"/>
      <color indexed="8"/>
      <name val="Calibri"/>
      <family val="2"/>
      <scheme val="minor"/>
    </font>
    <font>
      <b/>
      <sz val="10"/>
      <name val="Calibri"/>
      <family val="2"/>
      <scheme val="minor"/>
    </font>
    <font>
      <b/>
      <sz val="10"/>
      <color indexed="8"/>
      <name val="Georgia"/>
      <family val="1"/>
    </font>
    <font>
      <sz val="11"/>
      <color indexed="8"/>
      <name val="Calibri"/>
      <family val="2"/>
      <scheme val="minor"/>
    </font>
    <font>
      <i/>
      <sz val="11"/>
      <color indexed="8"/>
      <name val="Georgia"/>
      <family val="1"/>
    </font>
    <font>
      <sz val="11"/>
      <color indexed="8"/>
      <name val="Georgia"/>
      <family val="1"/>
    </font>
    <font>
      <sz val="11"/>
      <name val="Calibri"/>
      <family val="2"/>
      <scheme val="minor"/>
    </font>
    <font>
      <b/>
      <sz val="11"/>
      <color indexed="8"/>
      <name val="Georgia"/>
      <family val="1"/>
    </font>
    <font>
      <b/>
      <sz val="11"/>
      <name val="Calibri"/>
      <family val="2"/>
      <scheme val="minor"/>
    </font>
    <font>
      <b/>
      <u/>
      <sz val="10"/>
      <color theme="1"/>
      <name val="Arial"/>
      <family val="2"/>
    </font>
    <font>
      <sz val="10"/>
      <color indexed="8"/>
      <name val="Georgia"/>
      <family val="1"/>
    </font>
    <font>
      <sz val="13"/>
      <color indexed="8"/>
      <name val="Georgia"/>
      <family val="1"/>
    </font>
    <font>
      <b/>
      <sz val="12"/>
      <color indexed="8"/>
      <name val="Georgia"/>
      <family val="1"/>
    </font>
    <font>
      <b/>
      <sz val="10"/>
      <color theme="1"/>
      <name val="Calibri"/>
      <family val="2"/>
      <scheme val="minor"/>
    </font>
    <font>
      <sz val="14"/>
      <name val="Arial"/>
      <family val="2"/>
    </font>
    <font>
      <u/>
      <sz val="14"/>
      <name val="Arial"/>
      <family val="2"/>
    </font>
    <font>
      <b/>
      <u/>
      <sz val="11"/>
      <color theme="1"/>
      <name val="Calibri"/>
      <family val="2"/>
      <scheme val="minor"/>
    </font>
    <font>
      <sz val="10"/>
      <color theme="1"/>
      <name val="Calibri"/>
      <family val="2"/>
      <scheme val="minor"/>
    </font>
    <font>
      <b/>
      <u/>
      <sz val="12"/>
      <color theme="1"/>
      <name val="Calibri"/>
      <family val="2"/>
      <scheme val="minor"/>
    </font>
    <font>
      <b/>
      <sz val="24"/>
      <color theme="1"/>
      <name val="Calibri"/>
      <family val="2"/>
      <scheme val="minor"/>
    </font>
    <font>
      <b/>
      <sz val="13.5"/>
      <color theme="1"/>
      <name val="Calibri"/>
      <family val="2"/>
      <scheme val="minor"/>
    </font>
    <font>
      <b/>
      <sz val="12"/>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Wingdings"/>
      <charset val="2"/>
    </font>
    <font>
      <sz val="11"/>
      <color rgb="FF9C6500"/>
      <name val="Calibri"/>
      <family val="2"/>
      <scheme val="minor"/>
    </font>
    <font>
      <b/>
      <sz val="18"/>
      <color theme="3"/>
      <name val="Cambria"/>
      <family val="2"/>
      <scheme val="major"/>
    </font>
    <font>
      <sz val="10"/>
      <color theme="1"/>
      <name val="Tahoma"/>
      <family val="2"/>
    </font>
    <font>
      <b/>
      <u/>
      <sz val="14"/>
      <color rgb="FF222222"/>
      <name val="Arial"/>
      <family val="2"/>
    </font>
    <font>
      <b/>
      <sz val="8"/>
      <color rgb="FFFFFFFF"/>
      <name val="Arial"/>
      <family val="2"/>
    </font>
    <font>
      <sz val="8"/>
      <color rgb="FF454545"/>
      <name val="Arial"/>
      <family val="2"/>
    </font>
    <font>
      <b/>
      <sz val="11"/>
      <color rgb="FFFFFFFF"/>
      <name val="Arial"/>
      <family val="2"/>
    </font>
    <font>
      <sz val="11"/>
      <color rgb="FF454545"/>
      <name val="Arial"/>
      <family val="2"/>
    </font>
    <font>
      <sz val="8"/>
      <name val="Arial"/>
      <family val="2"/>
    </font>
    <font>
      <sz val="12"/>
      <color theme="0" tint="-0.499984740745262"/>
      <name val="Arial"/>
      <family val="2"/>
    </font>
    <font>
      <sz val="11"/>
      <color rgb="FF000000"/>
      <name val="Calibri"/>
      <family val="2"/>
      <scheme val="minor"/>
    </font>
    <font>
      <b/>
      <sz val="8"/>
      <color rgb="FF000000"/>
      <name val="Arial"/>
      <family val="2"/>
    </font>
    <font>
      <sz val="11"/>
      <name val="Calibri"/>
      <family val="2"/>
    </font>
    <font>
      <sz val="7"/>
      <color rgb="FF000000"/>
      <name val="Arial"/>
      <family val="2"/>
    </font>
    <font>
      <sz val="10"/>
      <color rgb="FF000000"/>
      <name val="Arial"/>
      <family val="2"/>
    </font>
    <font>
      <b/>
      <sz val="7"/>
      <color rgb="FF000000"/>
      <name val="Arial"/>
      <family val="2"/>
    </font>
    <font>
      <b/>
      <sz val="11"/>
      <name val="Calibri"/>
      <family val="2"/>
    </font>
    <font>
      <sz val="9"/>
      <color rgb="FF666666"/>
      <name val="Segoe UI"/>
      <family val="2"/>
    </font>
    <font>
      <sz val="10.5"/>
      <color rgb="FF212121"/>
      <name val="Segoe UI"/>
      <family val="2"/>
    </font>
    <font>
      <b/>
      <sz val="8"/>
      <name val="Arial"/>
      <family val="2"/>
    </font>
    <font>
      <sz val="11"/>
      <name val="Calibri"/>
      <family val="2"/>
    </font>
    <font>
      <sz val="9"/>
      <color theme="1"/>
      <name val="Calibri"/>
      <family val="2"/>
      <scheme val="minor"/>
    </font>
    <font>
      <sz val="11"/>
      <name val="Calibri"/>
      <family val="2"/>
    </font>
    <font>
      <sz val="7"/>
      <color theme="0"/>
      <name val="Arial"/>
      <family val="2"/>
    </font>
    <font>
      <sz val="11"/>
      <color theme="0"/>
      <name val="Calibri"/>
      <family val="2"/>
    </font>
    <font>
      <sz val="11"/>
      <color theme="1"/>
      <name val="Wingdings"/>
      <charset val="2"/>
    </font>
    <font>
      <sz val="7"/>
      <color rgb="FFFF0000"/>
      <name val="Arial"/>
      <family val="2"/>
    </font>
    <font>
      <sz val="11"/>
      <color rgb="FFFF0000"/>
      <name val="Calibri"/>
      <family val="2"/>
    </font>
    <font>
      <b/>
      <sz val="9"/>
      <color rgb="FF000000"/>
      <name val="Arial"/>
      <family val="2"/>
    </font>
    <font>
      <sz val="9"/>
      <name val="Calibri"/>
      <family val="2"/>
    </font>
    <font>
      <sz val="9"/>
      <color rgb="FF000000"/>
      <name val="Arial"/>
      <family val="2"/>
    </font>
    <font>
      <sz val="9"/>
      <color theme="0"/>
      <name val="Arial"/>
      <family val="2"/>
    </font>
    <font>
      <sz val="9"/>
      <color theme="0"/>
      <name val="Calibri"/>
      <family val="2"/>
    </font>
    <font>
      <b/>
      <sz val="9"/>
      <color rgb="FF666666"/>
      <name val="Segoe UI"/>
      <family val="2"/>
    </font>
    <font>
      <b/>
      <sz val="9"/>
      <name val="Calibri"/>
      <family val="2"/>
    </font>
    <font>
      <sz val="9"/>
      <name val="Arial"/>
      <family val="2"/>
    </font>
    <font>
      <sz val="10"/>
      <color theme="2"/>
      <name val="Arial"/>
      <family val="2"/>
    </font>
    <font>
      <i/>
      <sz val="10"/>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00"/>
        <bgColor indexed="64"/>
      </patternFill>
    </fill>
    <fill>
      <patternFill patternType="solid">
        <fgColor theme="5" tint="0.39997558519241921"/>
        <bgColor indexed="64"/>
      </patternFill>
    </fill>
    <fill>
      <patternFill patternType="solid">
        <fgColor rgb="FF336699"/>
      </patternFill>
    </fill>
    <fill>
      <patternFill patternType="solid">
        <fgColor theme="3" tint="0.59999389629810485"/>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6F7F8"/>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rgb="FFC0C0C0"/>
        <bgColor indexed="64"/>
      </patternFill>
    </fill>
  </fills>
  <borders count="15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style="thin">
        <color indexed="64"/>
      </left>
      <right/>
      <top style="thin">
        <color indexed="64"/>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bottom style="thin">
        <color indexed="64"/>
      </bottom>
      <diagonal/>
    </border>
    <border>
      <left style="medium">
        <color rgb="FFE2E2E2"/>
      </left>
      <right style="medium">
        <color rgb="FFE2E2E2"/>
      </right>
      <top/>
      <bottom/>
      <diagonal/>
    </border>
    <border>
      <left/>
      <right/>
      <top style="medium">
        <color rgb="FFD3D6DA"/>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indexed="64"/>
      </top>
      <bottom/>
      <diagonal/>
    </border>
    <border>
      <left style="thin">
        <color theme="0" tint="-0.24994659260841701"/>
      </left>
      <right/>
      <top/>
      <bottom style="thin">
        <color indexed="64"/>
      </bottom>
      <diagonal/>
    </border>
    <border>
      <left/>
      <right/>
      <top style="thin">
        <color theme="0" tint="-0.24994659260841701"/>
      </top>
      <bottom style="thin">
        <color indexed="64"/>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4659260841701"/>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style="thin">
        <color indexed="64"/>
      </bottom>
      <diagonal/>
    </border>
    <border>
      <left style="thin">
        <color theme="0" tint="-0.24994659260841701"/>
      </left>
      <right style="thin">
        <color theme="0" tint="-0.24994659260841701"/>
      </right>
      <top style="thin">
        <color theme="0" tint="-0.249977111117893"/>
      </top>
      <bottom style="thin">
        <color indexed="64"/>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style="thin">
        <color theme="0" tint="-0.24994659260841701"/>
      </right>
      <top style="thin">
        <color indexed="64"/>
      </top>
      <bottom/>
      <diagonal/>
    </border>
    <border>
      <left style="thick">
        <color theme="0" tint="-0.14999847407452621"/>
      </left>
      <right/>
      <top style="thick">
        <color theme="0" tint="-0.14999847407452621"/>
      </top>
      <bottom/>
      <diagonal/>
    </border>
    <border>
      <left/>
      <right/>
      <top style="thick">
        <color theme="0" tint="-0.14999847407452621"/>
      </top>
      <bottom/>
      <diagonal/>
    </border>
    <border>
      <left/>
      <right style="thick">
        <color theme="0" tint="-0.14999847407452621"/>
      </right>
      <top style="thick">
        <color theme="0" tint="-0.14999847407452621"/>
      </top>
      <bottom/>
      <diagonal/>
    </border>
    <border>
      <left style="thick">
        <color theme="0" tint="-0.14999847407452621"/>
      </left>
      <right/>
      <top/>
      <bottom/>
      <diagonal/>
    </border>
    <border>
      <left/>
      <right style="thick">
        <color theme="0" tint="-0.14999847407452621"/>
      </right>
      <top style="thin">
        <color theme="0" tint="-0.24994659260841701"/>
      </top>
      <bottom/>
      <diagonal/>
    </border>
    <border>
      <left/>
      <right style="thick">
        <color theme="0" tint="-0.14999847407452621"/>
      </right>
      <top style="thin">
        <color theme="0" tint="-0.24994659260841701"/>
      </top>
      <bottom style="thin">
        <color theme="0" tint="-0.24994659260841701"/>
      </bottom>
      <diagonal/>
    </border>
    <border>
      <left/>
      <right style="thick">
        <color theme="0" tint="-0.14999847407452621"/>
      </right>
      <top/>
      <bottom/>
      <diagonal/>
    </border>
    <border>
      <left style="thick">
        <color theme="0" tint="-0.14999847407452621"/>
      </left>
      <right/>
      <top/>
      <bottom style="thin">
        <color indexed="64"/>
      </bottom>
      <diagonal/>
    </border>
    <border>
      <left style="thick">
        <color theme="0" tint="-0.14999847407452621"/>
      </left>
      <right style="thin">
        <color theme="0" tint="-0.24994659260841701"/>
      </right>
      <top style="thin">
        <color indexed="64"/>
      </top>
      <bottom style="thin">
        <color theme="0" tint="-0.24994659260841701"/>
      </bottom>
      <diagonal/>
    </border>
    <border>
      <left style="thin">
        <color theme="0" tint="-0.24994659260841701"/>
      </left>
      <right style="thick">
        <color theme="0" tint="-0.14999847407452621"/>
      </right>
      <top style="thin">
        <color indexed="64"/>
      </top>
      <bottom style="thin">
        <color theme="0" tint="-0.24994659260841701"/>
      </bottom>
      <diagonal/>
    </border>
    <border>
      <left style="thick">
        <color theme="0" tint="-0.14999847407452621"/>
      </left>
      <right style="thin">
        <color theme="0" tint="-0.24994659260841701"/>
      </right>
      <top/>
      <bottom style="thin">
        <color theme="0" tint="-0.24994659260841701"/>
      </bottom>
      <diagonal/>
    </border>
    <border>
      <left style="thin">
        <color theme="0" tint="-0.24994659260841701"/>
      </left>
      <right style="thick">
        <color theme="0" tint="-0.14999847407452621"/>
      </right>
      <top/>
      <bottom style="thin">
        <color theme="0" tint="-0.24994659260841701"/>
      </bottom>
      <diagonal/>
    </border>
    <border>
      <left style="thick">
        <color theme="0" tint="-0.14999847407452621"/>
      </left>
      <right style="thin">
        <color theme="0" tint="-0.24994659260841701"/>
      </right>
      <top/>
      <bottom/>
      <diagonal/>
    </border>
    <border>
      <left style="thick">
        <color theme="0" tint="-0.14999847407452621"/>
      </left>
      <right style="thin">
        <color theme="0" tint="-0.24994659260841701"/>
      </right>
      <top style="thin">
        <color theme="0" tint="-0.24994659260841701"/>
      </top>
      <bottom/>
      <diagonal/>
    </border>
    <border>
      <left style="thick">
        <color theme="0" tint="-0.14999847407452621"/>
      </left>
      <right style="thin">
        <color theme="0" tint="-0.24994659260841701"/>
      </right>
      <top/>
      <bottom style="thin">
        <color indexed="64"/>
      </bottom>
      <diagonal/>
    </border>
    <border>
      <left style="thin">
        <color theme="0" tint="-0.24994659260841701"/>
      </left>
      <right style="thick">
        <color theme="0" tint="-0.14999847407452621"/>
      </right>
      <top/>
      <bottom style="thin">
        <color indexed="64"/>
      </bottom>
      <diagonal/>
    </border>
    <border>
      <left style="thin">
        <color theme="0" tint="-0.24994659260841701"/>
      </left>
      <right style="thick">
        <color theme="0" tint="-0.14999847407452621"/>
      </right>
      <top style="thin">
        <color theme="0" tint="-0.24994659260841701"/>
      </top>
      <bottom style="thin">
        <color theme="0" tint="-0.24994659260841701"/>
      </bottom>
      <diagonal/>
    </border>
    <border>
      <left style="thick">
        <color theme="0" tint="-0.1499984740745262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14999847407452621"/>
      </right>
      <top style="thin">
        <color theme="0" tint="-0.24994659260841701"/>
      </top>
      <bottom/>
      <diagonal/>
    </border>
    <border>
      <left style="thick">
        <color theme="0" tint="-0.14999847407452621"/>
      </left>
      <right/>
      <top style="thin">
        <color indexed="64"/>
      </top>
      <bottom/>
      <diagonal/>
    </border>
    <border>
      <left/>
      <right style="thick">
        <color theme="0" tint="-0.14999847407452621"/>
      </right>
      <top style="thin">
        <color indexed="64"/>
      </top>
      <bottom/>
      <diagonal/>
    </border>
    <border>
      <left style="thick">
        <color theme="0" tint="-0.14999847407452621"/>
      </left>
      <right style="thin">
        <color theme="0" tint="-0.24994659260841701"/>
      </right>
      <top style="thin">
        <color indexed="64"/>
      </top>
      <bottom/>
      <diagonal/>
    </border>
    <border>
      <left style="thin">
        <color theme="0" tint="-0.24994659260841701"/>
      </left>
      <right style="thick">
        <color theme="0" tint="-0.14999847407452621"/>
      </right>
      <top style="thin">
        <color indexed="64"/>
      </top>
      <bottom/>
      <diagonal/>
    </border>
    <border>
      <left style="thin">
        <color theme="0" tint="-0.24994659260841701"/>
      </left>
      <right style="thin">
        <color theme="0" tint="-0.24994659260841701"/>
      </right>
      <top/>
      <bottom style="thick">
        <color theme="0" tint="-0.14999847407452621"/>
      </bottom>
      <diagonal/>
    </border>
    <border>
      <left style="thick">
        <color theme="0" tint="-0.14999847407452621"/>
      </left>
      <right/>
      <top/>
      <bottom style="thick">
        <color theme="0" tint="-0.14999847407452621"/>
      </bottom>
      <diagonal/>
    </border>
    <border>
      <left/>
      <right/>
      <top/>
      <bottom style="thick">
        <color theme="0" tint="-0.14999847407452621"/>
      </bottom>
      <diagonal/>
    </border>
    <border>
      <left/>
      <right style="thick">
        <color theme="0" tint="-0.14999847407452621"/>
      </right>
      <top/>
      <bottom style="thick">
        <color theme="0" tint="-0.14999847407452621"/>
      </bottom>
      <diagonal/>
    </border>
    <border>
      <left style="thick">
        <color theme="0" tint="-0.14999847407452621"/>
      </left>
      <right/>
      <top style="thick">
        <color theme="0" tint="-0.14999847407452621"/>
      </top>
      <bottom style="thick">
        <color theme="0" tint="-0.14999847407452621"/>
      </bottom>
      <diagonal/>
    </border>
    <border>
      <left/>
      <right/>
      <top style="thick">
        <color theme="0" tint="-0.14999847407452621"/>
      </top>
      <bottom style="thick">
        <color theme="0" tint="-0.14999847407452621"/>
      </bottom>
      <diagonal/>
    </border>
    <border>
      <left/>
      <right style="thick">
        <color theme="0" tint="-0.14999847407452621"/>
      </right>
      <top style="thick">
        <color theme="0" tint="-0.14999847407452621"/>
      </top>
      <bottom style="thick">
        <color theme="0" tint="-0.14999847407452621"/>
      </bottom>
      <diagonal/>
    </border>
    <border>
      <left/>
      <right style="thick">
        <color theme="0" tint="-0.14999847407452621"/>
      </right>
      <top style="thin">
        <color theme="0" tint="-0.24994659260841701"/>
      </top>
      <bottom style="thin">
        <color indexed="64"/>
      </bottom>
      <diagonal/>
    </border>
    <border>
      <left style="thick">
        <color theme="0" tint="-0.14999847407452621"/>
      </left>
      <right style="thin">
        <color theme="0" tint="-0.249977111117893"/>
      </right>
      <top style="thin">
        <color theme="0" tint="-0.249977111117893"/>
      </top>
      <bottom style="thin">
        <color theme="0" tint="-0.249977111117893"/>
      </bottom>
      <diagonal/>
    </border>
    <border>
      <left style="thin">
        <color theme="0" tint="-0.249977111117893"/>
      </left>
      <right style="thick">
        <color theme="0" tint="-0.14999847407452621"/>
      </right>
      <top style="thin">
        <color theme="0" tint="-0.249977111117893"/>
      </top>
      <bottom style="thin">
        <color theme="0" tint="-0.249977111117893"/>
      </bottom>
      <diagonal/>
    </border>
    <border>
      <left style="thick">
        <color theme="0" tint="-0.14999847407452621"/>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ck">
        <color theme="0" tint="-0.14999847407452621"/>
      </right>
      <top/>
      <bottom style="thin">
        <color indexed="64"/>
      </bottom>
      <diagonal/>
    </border>
    <border>
      <left style="thick">
        <color theme="0" tint="-0.14999847407452621"/>
      </left>
      <right/>
      <top style="thin">
        <color theme="0" tint="-0.249977111117893"/>
      </top>
      <bottom/>
      <diagonal/>
    </border>
    <border>
      <left style="thin">
        <color theme="0" tint="-0.24994659260841701"/>
      </left>
      <right/>
      <top style="thick">
        <color theme="0" tint="-0.14999847407452621"/>
      </top>
      <bottom/>
      <diagonal/>
    </border>
    <border>
      <left/>
      <right/>
      <top style="thin">
        <color theme="0" tint="-0.24994659260841701"/>
      </top>
      <bottom style="thick">
        <color theme="0" tint="-0.14999847407452621"/>
      </bottom>
      <diagonal/>
    </border>
    <border>
      <left/>
      <right/>
      <top/>
      <bottom style="thin">
        <color theme="0" tint="-0.24994659260841701"/>
      </bottom>
      <diagonal/>
    </border>
    <border>
      <left/>
      <right style="thick">
        <color theme="0" tint="-0.14999847407452621"/>
      </right>
      <top/>
      <bottom style="thin">
        <color theme="0" tint="-0.24994659260841701"/>
      </bottom>
      <diagonal/>
    </border>
    <border>
      <left/>
      <right style="thick">
        <color theme="0" tint="-0.14999847407452621"/>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ck">
        <color theme="0" tint="-0.14999847407452621"/>
      </bottom>
      <diagonal/>
    </border>
    <border>
      <left/>
      <right style="thin">
        <color theme="0" tint="-0.249977111117893"/>
      </right>
      <top/>
      <bottom style="thick">
        <color theme="0" tint="-0.14999847407452621"/>
      </bottom>
      <diagonal/>
    </border>
    <border>
      <left style="thin">
        <color theme="0" tint="-0.249977111117893"/>
      </left>
      <right style="thin">
        <color theme="0" tint="-0.24994659260841701"/>
      </right>
      <top/>
      <bottom/>
      <diagonal/>
    </border>
    <border>
      <left style="thin">
        <color theme="0" tint="-0.24994659260841701"/>
      </left>
      <right style="thin">
        <color theme="0" tint="-0.249977111117893"/>
      </right>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top style="thick">
        <color theme="0" tint="-0.14999847407452621"/>
      </top>
      <bottom style="thick">
        <color theme="0" tint="-0.14999847407452621"/>
      </bottom>
      <diagonal/>
    </border>
    <border>
      <left/>
      <right style="thin">
        <color theme="0" tint="-0.249977111117893"/>
      </right>
      <top style="thick">
        <color theme="0" tint="-0.14999847407452621"/>
      </top>
      <bottom style="thick">
        <color theme="0" tint="-0.14999847407452621"/>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ck">
        <color theme="0" tint="-0.14999847407452621"/>
      </top>
      <bottom style="thin">
        <color theme="0" tint="-0.249977111117893"/>
      </bottom>
      <diagonal/>
    </border>
    <border>
      <left/>
      <right/>
      <top style="thick">
        <color theme="0" tint="-0.14999847407452621"/>
      </top>
      <bottom style="thin">
        <color theme="0" tint="-0.249977111117893"/>
      </bottom>
      <diagonal/>
    </border>
    <border>
      <left/>
      <right style="thin">
        <color theme="0" tint="-0.249977111117893"/>
      </right>
      <top style="thick">
        <color theme="0" tint="-0.14999847407452621"/>
      </top>
      <bottom style="thin">
        <color theme="0" tint="-0.249977111117893"/>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style="thin">
        <color theme="0" tint="-0.24994659260841701"/>
      </top>
      <bottom style="thick">
        <color theme="0" tint="-0.1499984740745262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style="thin">
        <color theme="0" tint="-0.24994659260841701"/>
      </right>
      <top style="thick">
        <color theme="0" tint="-0.14999847407452621"/>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4659260841701"/>
      </right>
      <top/>
      <bottom style="thin">
        <color indexed="64"/>
      </bottom>
      <diagonal/>
    </border>
    <border>
      <left style="thin">
        <color theme="0" tint="-0.24994659260841701"/>
      </left>
      <right style="thin">
        <color theme="0" tint="-0.249977111117893"/>
      </right>
      <top style="thin">
        <color indexed="64"/>
      </top>
      <bottom style="thin">
        <color theme="0" tint="-0.249977111117893"/>
      </bottom>
      <diagonal/>
    </border>
    <border>
      <left style="thin">
        <color theme="0" tint="-0.24994659260841701"/>
      </left>
      <right style="thin">
        <color theme="0" tint="-0.249977111117893"/>
      </right>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indexed="64"/>
      </top>
      <bottom/>
      <diagonal/>
    </border>
    <border>
      <left style="thin">
        <color theme="0" tint="-0.24994659260841701"/>
      </left>
      <right style="thin">
        <color theme="0" tint="-0.249977111117893"/>
      </right>
      <top style="thin">
        <color theme="0" tint="-0.249977111117893"/>
      </top>
      <bottom/>
      <diagonal/>
    </border>
    <border>
      <left style="thin">
        <color theme="0" tint="-0.249977111117893"/>
      </left>
      <right style="thin">
        <color theme="0" tint="-0.24994659260841701"/>
      </right>
      <top/>
      <bottom style="thick">
        <color theme="0" tint="-0.14999847407452621"/>
      </bottom>
      <diagonal/>
    </border>
    <border>
      <left style="thin">
        <color theme="0" tint="-0.24994659260841701"/>
      </left>
      <right style="thin">
        <color theme="0" tint="-0.249977111117893"/>
      </right>
      <top style="thin">
        <color theme="0" tint="-0.249977111117893"/>
      </top>
      <bottom style="thick">
        <color theme="0" tint="-0.14999847407452621"/>
      </bottom>
      <diagonal/>
    </border>
    <border>
      <left style="thin">
        <color theme="0" tint="-0.24994659260841701"/>
      </left>
      <right style="thin">
        <color theme="0" tint="-0.249977111117893"/>
      </right>
      <top/>
      <bottom style="thin">
        <color indexed="64"/>
      </bottom>
      <diagonal/>
    </border>
    <border>
      <left style="thin">
        <color theme="0" tint="-0.24994659260841701"/>
      </left>
      <right style="thin">
        <color theme="0" tint="-0.249977111117893"/>
      </right>
      <top style="thin">
        <color indexed="64"/>
      </top>
      <bottom style="thin">
        <color theme="0" tint="-0.24994659260841701"/>
      </bottom>
      <diagonal/>
    </border>
    <border>
      <left style="thin">
        <color theme="0" tint="-0.24994659260841701"/>
      </left>
      <right style="thin">
        <color theme="0" tint="-0.249977111117893"/>
      </right>
      <top style="thin">
        <color theme="0" tint="-0.24994659260841701"/>
      </top>
      <bottom style="thin">
        <color indexed="64"/>
      </bottom>
      <diagonal/>
    </border>
    <border>
      <left style="thin">
        <color theme="0" tint="-0.249977111117893"/>
      </left>
      <right style="thin">
        <color theme="0" tint="-0.24994659260841701"/>
      </right>
      <top style="thick">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5">
    <xf numFmtId="0" fontId="0" fillId="0" borderId="0"/>
    <xf numFmtId="0" fontId="25" fillId="0" borderId="0" applyNumberFormat="0" applyFill="0" applyBorder="0" applyAlignment="0" applyProtection="0"/>
    <xf numFmtId="165" fontId="38"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0" fontId="15" fillId="0" borderId="0"/>
    <xf numFmtId="44" fontId="38" fillId="0" borderId="0" applyFont="0" applyFill="0" applyBorder="0" applyAlignment="0" applyProtection="0"/>
    <xf numFmtId="0" fontId="69" fillId="0" borderId="0"/>
    <xf numFmtId="0" fontId="14" fillId="0" borderId="0"/>
    <xf numFmtId="0" fontId="14" fillId="0" borderId="0"/>
    <xf numFmtId="0" fontId="69" fillId="0" borderId="0"/>
    <xf numFmtId="0" fontId="81" fillId="0" borderId="0" applyNumberFormat="0" applyFill="0" applyBorder="0" applyAlignment="0" applyProtection="0"/>
    <xf numFmtId="0" fontId="82" fillId="0" borderId="29" applyNumberFormat="0" applyFill="0" applyAlignment="0" applyProtection="0"/>
    <xf numFmtId="0" fontId="83" fillId="0" borderId="30" applyNumberFormat="0" applyFill="0" applyAlignment="0" applyProtection="0"/>
    <xf numFmtId="0" fontId="84" fillId="0" borderId="31" applyNumberFormat="0" applyFill="0" applyAlignment="0" applyProtection="0"/>
    <xf numFmtId="0" fontId="84" fillId="0" borderId="0" applyNumberFormat="0" applyFill="0" applyBorder="0" applyAlignment="0" applyProtection="0"/>
    <xf numFmtId="0" fontId="85" fillId="19" borderId="0" applyNumberFormat="0" applyBorder="0" applyAlignment="0" applyProtection="0"/>
    <xf numFmtId="0" fontId="86" fillId="20" borderId="0" applyNumberFormat="0" applyBorder="0" applyAlignment="0" applyProtection="0"/>
    <xf numFmtId="0" fontId="87" fillId="22" borderId="32" applyNumberFormat="0" applyAlignment="0" applyProtection="0"/>
    <xf numFmtId="0" fontId="88" fillId="23" borderId="33" applyNumberFormat="0" applyAlignment="0" applyProtection="0"/>
    <xf numFmtId="0" fontId="89" fillId="23" borderId="32" applyNumberFormat="0" applyAlignment="0" applyProtection="0"/>
    <xf numFmtId="0" fontId="90" fillId="0" borderId="34" applyNumberFormat="0" applyFill="0" applyAlignment="0" applyProtection="0"/>
    <xf numFmtId="0" fontId="91" fillId="24" borderId="35"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51" fillId="0" borderId="37" applyNumberFormat="0" applyFill="0" applyAlignment="0" applyProtection="0"/>
    <xf numFmtId="0" fontId="9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94"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94"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94"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94"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94"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43" fontId="13" fillId="0" borderId="0" applyFont="0" applyFill="0" applyBorder="0" applyAlignment="0" applyProtection="0"/>
    <xf numFmtId="0" fontId="13" fillId="0" borderId="0"/>
    <xf numFmtId="0" fontId="13" fillId="0" borderId="0"/>
    <xf numFmtId="0" fontId="96" fillId="21" borderId="0" applyNumberFormat="0" applyBorder="0" applyAlignment="0" applyProtection="0"/>
    <xf numFmtId="0" fontId="94" fillId="29" borderId="0" applyNumberFormat="0" applyBorder="0" applyAlignment="0" applyProtection="0"/>
    <xf numFmtId="0" fontId="94" fillId="33" borderId="0" applyNumberFormat="0" applyBorder="0" applyAlignment="0" applyProtection="0"/>
    <xf numFmtId="0" fontId="94" fillId="37" borderId="0" applyNumberFormat="0" applyBorder="0" applyAlignment="0" applyProtection="0"/>
    <xf numFmtId="0" fontId="94" fillId="41" borderId="0" applyNumberFormat="0" applyBorder="0" applyAlignment="0" applyProtection="0"/>
    <xf numFmtId="0" fontId="94" fillId="45" borderId="0" applyNumberFormat="0" applyBorder="0" applyAlignment="0" applyProtection="0"/>
    <xf numFmtId="0" fontId="94" fillId="49" borderId="0" applyNumberFormat="0" applyBorder="0" applyAlignment="0" applyProtection="0"/>
    <xf numFmtId="0" fontId="13" fillId="0" borderId="0"/>
    <xf numFmtId="0" fontId="97" fillId="0" borderId="0" applyNumberFormat="0" applyFill="0" applyBorder="0" applyAlignment="0" applyProtection="0"/>
    <xf numFmtId="0" fontId="13" fillId="25" borderId="36" applyNumberFormat="0" applyFont="0" applyAlignment="0" applyProtection="0"/>
    <xf numFmtId="43" fontId="13" fillId="0" borderId="0" applyFont="0" applyFill="0" applyBorder="0" applyAlignment="0" applyProtection="0"/>
    <xf numFmtId="44" fontId="13" fillId="0" borderId="0" applyFont="0" applyFill="0" applyBorder="0" applyAlignment="0" applyProtection="0"/>
    <xf numFmtId="0" fontId="81" fillId="0" borderId="0" applyNumberForma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3" fillId="0" borderId="0"/>
    <xf numFmtId="43" fontId="38" fillId="0" borderId="0" applyFont="0" applyFill="0" applyBorder="0" applyAlignment="0" applyProtection="0"/>
    <xf numFmtId="44" fontId="38" fillId="0" borderId="0" applyFont="0" applyFill="0" applyBorder="0" applyAlignment="0" applyProtection="0"/>
    <xf numFmtId="0" fontId="13" fillId="0" borderId="0"/>
    <xf numFmtId="44" fontId="38" fillId="0" borderId="0" applyFont="0" applyFill="0" applyBorder="0" applyAlignment="0" applyProtection="0"/>
    <xf numFmtId="0" fontId="98" fillId="0" borderId="0"/>
    <xf numFmtId="0" fontId="106" fillId="0" borderId="0"/>
    <xf numFmtId="0" fontId="12" fillId="0" borderId="0"/>
    <xf numFmtId="0" fontId="65"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0" fontId="8" fillId="0" borderId="0"/>
    <xf numFmtId="0" fontId="7"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2" fillId="0" borderId="0"/>
    <xf numFmtId="0" fontId="1" fillId="0" borderId="0"/>
  </cellStyleXfs>
  <cellXfs count="913">
    <xf numFmtId="0" fontId="0" fillId="0" borderId="0" xfId="0"/>
    <xf numFmtId="0" fontId="0" fillId="0" borderId="0" xfId="0" applyProtection="1">
      <protection locked="0"/>
    </xf>
    <xf numFmtId="0" fontId="33" fillId="2" borderId="0" xfId="0" applyFont="1" applyFill="1" applyAlignment="1">
      <alignment vertical="center" wrapText="1" readingOrder="1"/>
    </xf>
    <xf numFmtId="0" fontId="0" fillId="5" borderId="0" xfId="0" applyFill="1" applyAlignment="1">
      <alignment wrapText="1"/>
    </xf>
    <xf numFmtId="0" fontId="33" fillId="0" borderId="0" xfId="0" applyFont="1" applyAlignment="1">
      <alignment vertical="center" wrapText="1" readingOrder="1"/>
    </xf>
    <xf numFmtId="0" fontId="32" fillId="0" borderId="0" xfId="0" applyFont="1" applyAlignment="1">
      <alignment vertical="center" wrapText="1" readingOrder="1"/>
    </xf>
    <xf numFmtId="0" fontId="35" fillId="7" borderId="0" xfId="0" applyFont="1" applyFill="1" applyAlignment="1">
      <alignment horizontal="left" vertical="center" wrapText="1"/>
    </xf>
    <xf numFmtId="0" fontId="36" fillId="0" borderId="0" xfId="0" applyFont="1" applyAlignment="1">
      <alignment vertical="center" wrapText="1" readingOrder="1"/>
    </xf>
    <xf numFmtId="0" fontId="36" fillId="0" borderId="3" xfId="0" applyFont="1" applyBorder="1" applyAlignment="1">
      <alignment vertical="center" wrapText="1" readingOrder="1"/>
    </xf>
    <xf numFmtId="0" fontId="46" fillId="0" borderId="3" xfId="0" applyFont="1" applyBorder="1" applyAlignment="1">
      <alignment horizontal="left" vertical="center" wrapText="1" indent="2" readingOrder="1"/>
    </xf>
    <xf numFmtId="0" fontId="0" fillId="4" borderId="0" xfId="0" applyFill="1"/>
    <xf numFmtId="0" fontId="0" fillId="5" borderId="0" xfId="0" applyFill="1"/>
    <xf numFmtId="0" fontId="19" fillId="6" borderId="0" xfId="0" applyFont="1" applyFill="1"/>
    <xf numFmtId="0" fontId="19" fillId="6" borderId="0" xfId="0" applyFont="1" applyFill="1" applyAlignment="1">
      <alignment wrapText="1"/>
    </xf>
    <xf numFmtId="0" fontId="35" fillId="7" borderId="0" xfId="0" applyFont="1" applyFill="1" applyAlignment="1">
      <alignment vertical="center" wrapText="1"/>
    </xf>
    <xf numFmtId="0" fontId="41" fillId="0" borderId="0" xfId="0" applyFont="1"/>
    <xf numFmtId="166" fontId="40" fillId="0" borderId="0" xfId="0" applyNumberFormat="1" applyFont="1" applyAlignment="1">
      <alignment vertical="center" wrapText="1"/>
    </xf>
    <xf numFmtId="0" fontId="34" fillId="0" borderId="0" xfId="0" applyFont="1" applyAlignment="1">
      <alignment horizontal="center" vertical="center" wrapText="1"/>
    </xf>
    <xf numFmtId="0" fontId="0" fillId="0" borderId="0" xfId="0" applyAlignment="1">
      <alignment wrapText="1"/>
    </xf>
    <xf numFmtId="0" fontId="19" fillId="0" borderId="0" xfId="0" applyFont="1" applyAlignment="1">
      <alignment wrapText="1"/>
    </xf>
    <xf numFmtId="0" fontId="16" fillId="0" borderId="0" xfId="0" applyFont="1" applyAlignment="1">
      <alignment wrapText="1"/>
    </xf>
    <xf numFmtId="0" fontId="0" fillId="0" borderId="0" xfId="0" applyAlignment="1">
      <alignment vertical="center"/>
    </xf>
    <xf numFmtId="0" fontId="19" fillId="0" borderId="0" xfId="0" applyFont="1"/>
    <xf numFmtId="0" fontId="0" fillId="0" borderId="0" xfId="0" applyAlignment="1">
      <alignment horizontal="justify" vertical="center"/>
    </xf>
    <xf numFmtId="0" fontId="29" fillId="0" borderId="0" xfId="0" applyFont="1" applyAlignment="1">
      <alignment vertical="center" wrapText="1" readingOrder="1"/>
    </xf>
    <xf numFmtId="0" fontId="35"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18" fillId="0" borderId="0" xfId="0" applyFont="1" applyAlignment="1">
      <alignment wrapText="1"/>
    </xf>
    <xf numFmtId="0" fontId="0" fillId="0" borderId="0" xfId="0" applyAlignment="1">
      <alignment vertical="center" wrapText="1"/>
    </xf>
    <xf numFmtId="0" fontId="17" fillId="0" borderId="0" xfId="0" applyFont="1" applyAlignment="1">
      <alignment wrapText="1"/>
    </xf>
    <xf numFmtId="0" fontId="16" fillId="0" borderId="0" xfId="0" applyFont="1" applyAlignment="1">
      <alignment vertical="center" wrapText="1"/>
    </xf>
    <xf numFmtId="0" fontId="34" fillId="3" borderId="0" xfId="0" applyFont="1" applyFill="1" applyAlignment="1">
      <alignment vertical="center" wrapText="1" readingOrder="1"/>
    </xf>
    <xf numFmtId="0" fontId="31" fillId="3" borderId="0" xfId="0" applyFont="1" applyFill="1"/>
    <xf numFmtId="1" fontId="36" fillId="0" borderId="5" xfId="0" applyNumberFormat="1" applyFont="1" applyBorder="1" applyAlignment="1">
      <alignment horizontal="center" vertical="center" wrapText="1"/>
    </xf>
    <xf numFmtId="0" fontId="30" fillId="0" borderId="0" xfId="0" applyFont="1" applyAlignment="1">
      <alignment vertical="center"/>
    </xf>
    <xf numFmtId="1" fontId="32" fillId="0" borderId="0" xfId="0" applyNumberFormat="1" applyFont="1" applyAlignment="1">
      <alignment horizontal="center" vertical="center" wrapText="1"/>
    </xf>
    <xf numFmtId="165" fontId="32" fillId="0" borderId="0" xfId="2" applyFont="1" applyAlignment="1">
      <alignment vertical="center" wrapText="1" readingOrder="1"/>
    </xf>
    <xf numFmtId="0" fontId="30" fillId="0" borderId="0" xfId="0" applyFont="1" applyAlignment="1">
      <alignment vertical="center" wrapText="1"/>
    </xf>
    <xf numFmtId="0" fontId="0" fillId="5" borderId="0" xfId="0" applyFill="1" applyAlignment="1">
      <alignment horizontal="left" vertical="top"/>
    </xf>
    <xf numFmtId="0" fontId="33" fillId="2" borderId="0" xfId="0" applyFont="1" applyFill="1" applyAlignment="1">
      <alignment horizontal="center" vertical="center"/>
    </xf>
    <xf numFmtId="0" fontId="42" fillId="0" borderId="0" xfId="0" applyFont="1" applyAlignment="1">
      <alignment horizontal="center"/>
    </xf>
    <xf numFmtId="0" fontId="26" fillId="0" borderId="0" xfId="0" applyFont="1" applyAlignment="1">
      <alignment vertical="center"/>
    </xf>
    <xf numFmtId="0" fontId="34" fillId="2" borderId="0" xfId="0" applyFont="1" applyFill="1" applyAlignment="1">
      <alignment horizontal="justify" vertical="center"/>
    </xf>
    <xf numFmtId="0" fontId="22" fillId="0" borderId="0" xfId="0" applyFont="1" applyAlignment="1">
      <alignment vertical="center"/>
    </xf>
    <xf numFmtId="0" fontId="22" fillId="0" borderId="0" xfId="0" applyFont="1" applyAlignment="1">
      <alignment vertical="center" wrapText="1"/>
    </xf>
    <xf numFmtId="0" fontId="26" fillId="0" borderId="0" xfId="0" applyFont="1" applyAlignment="1">
      <alignment horizontal="justify" vertical="center"/>
    </xf>
    <xf numFmtId="0" fontId="22" fillId="0" borderId="0" xfId="0" applyFont="1" applyAlignment="1">
      <alignment horizontal="justify" vertical="center"/>
    </xf>
    <xf numFmtId="0" fontId="34" fillId="3" borderId="0" xfId="0" applyFont="1" applyFill="1" applyAlignment="1">
      <alignment horizontal="justify" vertical="center"/>
    </xf>
    <xf numFmtId="0" fontId="26" fillId="0" borderId="0" xfId="1" applyFont="1" applyAlignment="1">
      <alignment horizontal="justify" vertical="center"/>
    </xf>
    <xf numFmtId="0" fontId="26" fillId="0" borderId="0" xfId="0" applyFont="1" applyAlignment="1">
      <alignment horizontal="left" vertical="center" wrapText="1"/>
    </xf>
    <xf numFmtId="0" fontId="27" fillId="0" borderId="0" xfId="1" applyFont="1" applyAlignment="1">
      <alignment vertical="center"/>
    </xf>
    <xf numFmtId="0" fontId="27" fillId="0" borderId="0" xfId="1" applyFont="1" applyAlignment="1">
      <alignment horizontal="justify" vertical="center"/>
    </xf>
    <xf numFmtId="0" fontId="26" fillId="9" borderId="0" xfId="1" applyFont="1" applyFill="1" applyAlignment="1">
      <alignment horizontal="justify" vertical="center"/>
    </xf>
    <xf numFmtId="0" fontId="26" fillId="0" borderId="0" xfId="0" applyFont="1" applyAlignment="1">
      <alignment horizontal="center" vertical="center"/>
    </xf>
    <xf numFmtId="0" fontId="34" fillId="3" borderId="0" xfId="0" applyFont="1" applyFill="1" applyAlignment="1">
      <alignment vertical="center" readingOrder="1"/>
    </xf>
    <xf numFmtId="0" fontId="34" fillId="7" borderId="0" xfId="0" applyFont="1" applyFill="1" applyAlignment="1">
      <alignment horizontal="left" vertical="center" readingOrder="1"/>
    </xf>
    <xf numFmtId="166" fontId="34" fillId="7" borderId="0" xfId="0" applyNumberFormat="1" applyFont="1" applyFill="1" applyAlignment="1">
      <alignment horizontal="left" vertical="center" wrapText="1"/>
    </xf>
    <xf numFmtId="1" fontId="34" fillId="7" borderId="0" xfId="0" applyNumberFormat="1" applyFont="1" applyFill="1" applyAlignment="1">
      <alignment horizontal="center" vertical="center" wrapText="1"/>
    </xf>
    <xf numFmtId="0" fontId="48" fillId="0" borderId="0" xfId="0" applyFont="1"/>
    <xf numFmtId="166" fontId="34" fillId="8" borderId="0" xfId="0" applyNumberFormat="1" applyFont="1" applyFill="1" applyAlignment="1">
      <alignment horizontal="left" vertical="center" wrapText="1"/>
    </xf>
    <xf numFmtId="1" fontId="34" fillId="8" borderId="0" xfId="0" applyNumberFormat="1" applyFont="1" applyFill="1" applyAlignment="1">
      <alignment horizontal="center" vertical="center" wrapText="1"/>
    </xf>
    <xf numFmtId="164" fontId="0" fillId="0" borderId="0" xfId="0" applyNumberFormat="1" applyAlignment="1">
      <alignment wrapText="1"/>
    </xf>
    <xf numFmtId="164" fontId="34" fillId="3" borderId="0" xfId="0" applyNumberFormat="1" applyFont="1" applyFill="1" applyAlignment="1">
      <alignment vertical="center"/>
    </xf>
    <xf numFmtId="164" fontId="36" fillId="0" borderId="4" xfId="2" applyNumberFormat="1" applyFont="1" applyBorder="1" applyAlignment="1">
      <alignment vertical="center" wrapText="1" readingOrder="1"/>
    </xf>
    <xf numFmtId="164" fontId="36" fillId="0" borderId="0" xfId="2" applyNumberFormat="1" applyFont="1" applyAlignment="1">
      <alignment vertical="center" wrapText="1" readingOrder="1"/>
    </xf>
    <xf numFmtId="164" fontId="46" fillId="0" borderId="4" xfId="2" applyNumberFormat="1" applyFont="1" applyBorder="1" applyAlignment="1">
      <alignment vertical="center" wrapText="1" readingOrder="1"/>
    </xf>
    <xf numFmtId="164" fontId="34" fillId="3" borderId="0" xfId="0" applyNumberFormat="1" applyFont="1" applyFill="1" applyAlignment="1">
      <alignment vertical="center" wrapText="1" readingOrder="1"/>
    </xf>
    <xf numFmtId="0" fontId="0" fillId="4" borderId="0" xfId="0" applyFill="1" applyAlignment="1">
      <alignment wrapText="1"/>
    </xf>
    <xf numFmtId="0" fontId="21" fillId="4" borderId="0" xfId="0" applyFont="1" applyFill="1" applyAlignment="1">
      <alignment wrapText="1"/>
    </xf>
    <xf numFmtId="0" fontId="30" fillId="0" borderId="5" xfId="2" applyNumberFormat="1" applyFont="1" applyBorder="1" applyAlignment="1">
      <alignment horizontal="center" vertical="center" wrapText="1" readingOrder="1"/>
    </xf>
    <xf numFmtId="0" fontId="30" fillId="0" borderId="0" xfId="2" applyNumberFormat="1" applyFont="1" applyAlignment="1">
      <alignment horizontal="center" vertical="center" wrapText="1" readingOrder="1"/>
    </xf>
    <xf numFmtId="0" fontId="47" fillId="0" borderId="5" xfId="2" applyNumberFormat="1" applyFont="1" applyBorder="1" applyAlignment="1">
      <alignment horizontal="center" vertical="center" wrapText="1" readingOrder="1"/>
    </xf>
    <xf numFmtId="167" fontId="30" fillId="10" borderId="3" xfId="0" applyNumberFormat="1" applyFont="1" applyFill="1" applyBorder="1" applyAlignment="1" applyProtection="1">
      <alignment vertical="center" wrapText="1"/>
      <protection locked="0"/>
    </xf>
    <xf numFmtId="164" fontId="30" fillId="10" borderId="4" xfId="0" applyNumberFormat="1" applyFont="1" applyFill="1" applyBorder="1" applyAlignment="1" applyProtection="1">
      <alignment vertical="center" wrapText="1"/>
      <protection locked="0"/>
    </xf>
    <xf numFmtId="0" fontId="30" fillId="10" borderId="4" xfId="0" applyFont="1" applyFill="1" applyBorder="1" applyAlignment="1" applyProtection="1">
      <alignment vertical="center" wrapText="1"/>
      <protection locked="0"/>
    </xf>
    <xf numFmtId="0" fontId="30" fillId="10" borderId="5" xfId="0" applyFont="1" applyFill="1" applyBorder="1" applyAlignment="1" applyProtection="1">
      <alignment vertical="center" wrapText="1"/>
      <protection locked="0"/>
    </xf>
    <xf numFmtId="167" fontId="30" fillId="10" borderId="3" xfId="0" applyNumberFormat="1" applyFont="1" applyFill="1" applyBorder="1" applyAlignment="1" applyProtection="1">
      <alignment vertical="center"/>
      <protection locked="0"/>
    </xf>
    <xf numFmtId="0" fontId="49"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30" fillId="10" borderId="4"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35" fillId="0" borderId="0" xfId="0" applyFont="1" applyAlignment="1">
      <alignment horizontal="center" wrapText="1"/>
    </xf>
    <xf numFmtId="0" fontId="30" fillId="10" borderId="4" xfId="0" applyFont="1" applyFill="1" applyBorder="1" applyAlignment="1" applyProtection="1">
      <alignment horizontal="left" vertical="center" wrapText="1"/>
      <protection locked="0"/>
    </xf>
    <xf numFmtId="0" fontId="50" fillId="3" borderId="0" xfId="0" applyFont="1" applyFill="1" applyAlignment="1">
      <alignment horizontal="center" vertical="center" readingOrder="1"/>
    </xf>
    <xf numFmtId="0" fontId="35" fillId="3" borderId="0" xfId="0" applyFont="1" applyFill="1" applyAlignment="1">
      <alignment vertical="center"/>
    </xf>
    <xf numFmtId="164" fontId="35" fillId="3" borderId="0" xfId="0" applyNumberFormat="1" applyFont="1" applyFill="1" applyAlignment="1">
      <alignment vertical="center"/>
    </xf>
    <xf numFmtId="0" fontId="50" fillId="3" borderId="0" xfId="0" applyFont="1" applyFill="1" applyAlignment="1">
      <alignment horizontal="center" vertical="center" wrapText="1"/>
    </xf>
    <xf numFmtId="166" fontId="50" fillId="7" borderId="0" xfId="0" applyNumberFormat="1" applyFont="1" applyFill="1" applyAlignment="1">
      <alignment horizontal="center" vertical="center" wrapText="1"/>
    </xf>
    <xf numFmtId="0" fontId="19" fillId="4" borderId="0" xfId="0" applyFont="1" applyFill="1" applyAlignment="1">
      <alignment wrapText="1"/>
    </xf>
    <xf numFmtId="0" fontId="19"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19"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19" fillId="5" borderId="0" xfId="0" applyFont="1" applyFill="1" applyAlignment="1">
      <alignment horizontal="center" vertical="top"/>
    </xf>
    <xf numFmtId="1" fontId="19" fillId="5" borderId="0" xfId="0" applyNumberFormat="1" applyFont="1" applyFill="1" applyAlignment="1">
      <alignment horizontal="center"/>
    </xf>
    <xf numFmtId="0" fontId="19" fillId="4" borderId="0" xfId="0" applyFont="1" applyFill="1" applyAlignment="1">
      <alignment horizontal="center" wrapText="1"/>
    </xf>
    <xf numFmtId="0" fontId="19" fillId="5" borderId="0" xfId="0" applyFont="1" applyFill="1" applyAlignment="1">
      <alignment horizontal="center" wrapText="1"/>
    </xf>
    <xf numFmtId="0" fontId="33" fillId="3" borderId="0" xfId="0" applyFont="1" applyFill="1" applyAlignment="1">
      <alignment vertical="center" wrapText="1" readingOrder="1"/>
    </xf>
    <xf numFmtId="165" fontId="33" fillId="3" borderId="0" xfId="2" applyFont="1" applyFill="1" applyAlignment="1">
      <alignment horizontal="center" vertical="center" wrapText="1" readingOrder="1"/>
    </xf>
    <xf numFmtId="165" fontId="33" fillId="0" borderId="0" xfId="2" applyFont="1" applyAlignment="1">
      <alignment horizontal="center" vertical="center" wrapText="1" readingOrder="1"/>
    </xf>
    <xf numFmtId="0" fontId="33" fillId="7" borderId="0" xfId="0" applyFont="1" applyFill="1" applyAlignment="1">
      <alignment vertical="center" wrapText="1" readingOrder="1"/>
    </xf>
    <xf numFmtId="165" fontId="33" fillId="7" borderId="0" xfId="2" applyFont="1" applyFill="1" applyAlignment="1">
      <alignment horizontal="center" vertical="center" wrapText="1" readingOrder="1"/>
    </xf>
    <xf numFmtId="0" fontId="35" fillId="0" borderId="0" xfId="0" applyFont="1" applyAlignment="1">
      <alignment wrapText="1"/>
    </xf>
    <xf numFmtId="0" fontId="31" fillId="0" borderId="0" xfId="0" applyFont="1"/>
    <xf numFmtId="0" fontId="27" fillId="9" borderId="0" xfId="1" applyFont="1" applyFill="1" applyAlignment="1">
      <alignment vertical="center" wrapText="1"/>
    </xf>
    <xf numFmtId="167" fontId="30" fillId="10" borderId="9" xfId="0" applyNumberFormat="1" applyFont="1" applyFill="1" applyBorder="1" applyAlignment="1" applyProtection="1">
      <alignment vertical="center"/>
      <protection locked="0"/>
    </xf>
    <xf numFmtId="164" fontId="30" fillId="10" borderId="10" xfId="0" applyNumberFormat="1" applyFont="1" applyFill="1" applyBorder="1" applyAlignment="1" applyProtection="1">
      <alignment vertical="center" wrapText="1"/>
      <protection locked="0"/>
    </xf>
    <xf numFmtId="0" fontId="30" fillId="10" borderId="10" xfId="0" applyFont="1" applyFill="1" applyBorder="1" applyAlignment="1" applyProtection="1">
      <alignment vertical="center" wrapText="1"/>
      <protection locked="0"/>
    </xf>
    <xf numFmtId="0" fontId="30" fillId="10" borderId="11" xfId="0" applyFont="1" applyFill="1" applyBorder="1" applyAlignment="1" applyProtection="1">
      <alignment vertical="center" wrapText="1"/>
      <protection locked="0"/>
    </xf>
    <xf numFmtId="0" fontId="19" fillId="0" borderId="0" xfId="0" applyFont="1" applyAlignment="1" applyProtection="1">
      <alignment wrapText="1"/>
      <protection locked="0"/>
    </xf>
    <xf numFmtId="0" fontId="19" fillId="0" borderId="0" xfId="0" applyFont="1" applyProtection="1">
      <protection locked="0"/>
    </xf>
    <xf numFmtId="0" fontId="52" fillId="0" borderId="0" xfId="0" applyFont="1"/>
    <xf numFmtId="0" fontId="53" fillId="0" borderId="0" xfId="0" applyFont="1"/>
    <xf numFmtId="0" fontId="54" fillId="0" borderId="0" xfId="0" applyFont="1"/>
    <xf numFmtId="0" fontId="55" fillId="0" borderId="0" xfId="0" applyFont="1"/>
    <xf numFmtId="0" fontId="56" fillId="0" borderId="12" xfId="0" applyFont="1" applyBorder="1"/>
    <xf numFmtId="0" fontId="56" fillId="0" borderId="12" xfId="0" applyFont="1" applyBorder="1" applyAlignment="1">
      <alignment wrapText="1"/>
    </xf>
    <xf numFmtId="0" fontId="56" fillId="0" borderId="7" xfId="0" applyFont="1" applyBorder="1" applyAlignment="1">
      <alignment wrapText="1"/>
    </xf>
    <xf numFmtId="0" fontId="56" fillId="0" borderId="7" xfId="0" applyFont="1" applyBorder="1"/>
    <xf numFmtId="49" fontId="53" fillId="0" borderId="12" xfId="0" applyNumberFormat="1" applyFont="1" applyBorder="1" applyAlignment="1">
      <alignment horizontal="left"/>
    </xf>
    <xf numFmtId="43" fontId="57" fillId="0" borderId="12" xfId="1" applyNumberFormat="1" applyFont="1" applyBorder="1"/>
    <xf numFmtId="49" fontId="53" fillId="0" borderId="13" xfId="0" applyNumberFormat="1" applyFont="1" applyBorder="1" applyAlignment="1">
      <alignment horizontal="left"/>
    </xf>
    <xf numFmtId="43" fontId="57" fillId="0" borderId="13" xfId="1" applyNumberFormat="1" applyFont="1" applyBorder="1"/>
    <xf numFmtId="43" fontId="58" fillId="0" borderId="13" xfId="0" applyNumberFormat="1" applyFont="1" applyBorder="1"/>
    <xf numFmtId="0" fontId="56" fillId="0" borderId="13" xfId="0" applyFont="1" applyBorder="1"/>
    <xf numFmtId="0" fontId="56" fillId="0" borderId="13" xfId="0" applyFont="1" applyBorder="1" applyAlignment="1">
      <alignment wrapText="1"/>
    </xf>
    <xf numFmtId="14" fontId="0" fillId="0" borderId="13" xfId="0" applyNumberFormat="1" applyBorder="1" applyAlignment="1">
      <alignment horizontal="left"/>
    </xf>
    <xf numFmtId="0" fontId="58" fillId="0" borderId="13" xfId="0" applyFont="1" applyBorder="1"/>
    <xf numFmtId="49" fontId="53" fillId="0" borderId="7" xfId="0" applyNumberFormat="1" applyFont="1" applyBorder="1" applyAlignment="1">
      <alignment horizontal="left"/>
    </xf>
    <xf numFmtId="168" fontId="57" fillId="0" borderId="14" xfId="1" applyNumberFormat="1" applyFont="1" applyBorder="1"/>
    <xf numFmtId="43" fontId="57" fillId="0" borderId="14" xfId="1" applyNumberFormat="1" applyFont="1" applyBorder="1"/>
    <xf numFmtId="43" fontId="57" fillId="0" borderId="7" xfId="1" applyNumberFormat="1" applyFont="1" applyBorder="1"/>
    <xf numFmtId="168" fontId="57" fillId="0" borderId="14" xfId="1" applyNumberFormat="1" applyFont="1" applyBorder="1" applyAlignment="1">
      <alignment shrinkToFit="1"/>
    </xf>
    <xf numFmtId="43" fontId="57" fillId="0" borderId="15" xfId="1" applyNumberFormat="1" applyFont="1" applyBorder="1" applyAlignment="1">
      <alignment horizontal="center"/>
    </xf>
    <xf numFmtId="0" fontId="58" fillId="0" borderId="7" xfId="0" applyFont="1" applyBorder="1"/>
    <xf numFmtId="168" fontId="57" fillId="0" borderId="16" xfId="1" applyNumberFormat="1" applyFont="1" applyBorder="1"/>
    <xf numFmtId="43" fontId="57" fillId="0" borderId="16" xfId="1" applyNumberFormat="1" applyFont="1" applyBorder="1"/>
    <xf numFmtId="168" fontId="57" fillId="0" borderId="16" xfId="1" applyNumberFormat="1" applyFont="1" applyBorder="1" applyAlignment="1">
      <alignment shrinkToFit="1"/>
    </xf>
    <xf numFmtId="43" fontId="57" fillId="0" borderId="0" xfId="1" applyNumberFormat="1" applyFont="1" applyAlignment="1">
      <alignment horizontal="center"/>
    </xf>
    <xf numFmtId="169" fontId="57" fillId="0" borderId="12" xfId="1" applyNumberFormat="1" applyFont="1" applyBorder="1"/>
    <xf numFmtId="43" fontId="57" fillId="0" borderId="12" xfId="4" applyFont="1" applyBorder="1"/>
    <xf numFmtId="43" fontId="57" fillId="0" borderId="17" xfId="1" applyNumberFormat="1" applyFont="1" applyBorder="1"/>
    <xf numFmtId="168" fontId="57" fillId="0" borderId="7" xfId="1" applyNumberFormat="1" applyFont="1" applyBorder="1"/>
    <xf numFmtId="168" fontId="57" fillId="0" borderId="12" xfId="1" applyNumberFormat="1" applyFont="1" applyBorder="1"/>
    <xf numFmtId="170" fontId="53" fillId="0" borderId="12" xfId="0" applyNumberFormat="1" applyFont="1" applyBorder="1" applyAlignment="1">
      <alignment horizontal="center"/>
    </xf>
    <xf numFmtId="0" fontId="53" fillId="0" borderId="7" xfId="0" applyFont="1" applyBorder="1" applyAlignment="1">
      <alignment wrapText="1"/>
    </xf>
    <xf numFmtId="168" fontId="57" fillId="0" borderId="17" xfId="1" applyNumberFormat="1" applyFont="1" applyBorder="1"/>
    <xf numFmtId="0" fontId="58" fillId="0" borderId="12" xfId="0" applyFont="1" applyBorder="1"/>
    <xf numFmtId="49" fontId="53" fillId="0" borderId="19" xfId="0" applyNumberFormat="1" applyFont="1" applyBorder="1" applyAlignment="1">
      <alignment horizontal="left"/>
    </xf>
    <xf numFmtId="43" fontId="57" fillId="0" borderId="19" xfId="1" applyNumberFormat="1" applyFont="1" applyBorder="1"/>
    <xf numFmtId="49" fontId="59" fillId="0" borderId="21" xfId="0" applyNumberFormat="1" applyFont="1" applyBorder="1" applyAlignment="1">
      <alignment horizontal="left"/>
    </xf>
    <xf numFmtId="43" fontId="59" fillId="0" borderId="21" xfId="0" applyNumberFormat="1" applyFont="1" applyBorder="1"/>
    <xf numFmtId="168" fontId="59" fillId="0" borderId="21" xfId="0" applyNumberFormat="1" applyFont="1" applyBorder="1"/>
    <xf numFmtId="0" fontId="59" fillId="0" borderId="21" xfId="0" applyFont="1" applyBorder="1" applyAlignment="1">
      <alignment horizontal="center"/>
    </xf>
    <xf numFmtId="168" fontId="59" fillId="0" borderId="21" xfId="0" applyNumberFormat="1" applyFont="1" applyBorder="1" applyAlignment="1">
      <alignment wrapText="1"/>
    </xf>
    <xf numFmtId="49" fontId="59" fillId="0" borderId="0" xfId="0" applyNumberFormat="1" applyFont="1" applyAlignment="1">
      <alignment horizontal="left"/>
    </xf>
    <xf numFmtId="43" fontId="59" fillId="0" borderId="0" xfId="0" applyNumberFormat="1" applyFont="1"/>
    <xf numFmtId="0" fontId="59" fillId="0" borderId="0" xfId="0" applyFont="1"/>
    <xf numFmtId="168" fontId="59" fillId="0" borderId="0" xfId="0" applyNumberFormat="1" applyFont="1" applyAlignment="1">
      <alignment wrapText="1"/>
    </xf>
    <xf numFmtId="4" fontId="53" fillId="0" borderId="0" xfId="0" applyNumberFormat="1" applyFont="1"/>
    <xf numFmtId="43" fontId="53" fillId="0" borderId="0" xfId="0" applyNumberFormat="1" applyFont="1"/>
    <xf numFmtId="168" fontId="53" fillId="0" borderId="0" xfId="0" applyNumberFormat="1" applyFont="1" applyAlignment="1">
      <alignment wrapText="1"/>
    </xf>
    <xf numFmtId="49" fontId="59" fillId="0" borderId="22" xfId="0" applyNumberFormat="1" applyFont="1" applyBorder="1" applyAlignment="1">
      <alignment horizontal="left"/>
    </xf>
    <xf numFmtId="168" fontId="60" fillId="0" borderId="23" xfId="1" applyNumberFormat="1" applyFont="1" applyBorder="1"/>
    <xf numFmtId="0" fontId="59" fillId="0" borderId="23" xfId="0" applyFont="1" applyBorder="1"/>
    <xf numFmtId="0" fontId="56" fillId="0" borderId="14" xfId="0" applyFont="1" applyBorder="1"/>
    <xf numFmtId="43" fontId="60" fillId="0" borderId="24" xfId="1" applyNumberFormat="1" applyFont="1" applyBorder="1"/>
    <xf numFmtId="0" fontId="58" fillId="0" borderId="21" xfId="0" applyFont="1" applyBorder="1"/>
    <xf numFmtId="0" fontId="53" fillId="0" borderId="24" xfId="0" applyFont="1" applyBorder="1"/>
    <xf numFmtId="43" fontId="0" fillId="0" borderId="0" xfId="0" applyNumberFormat="1"/>
    <xf numFmtId="0" fontId="15" fillId="0" borderId="0" xfId="5" applyAlignment="1">
      <alignment horizontal="left" vertical="center"/>
    </xf>
    <xf numFmtId="0" fontId="15" fillId="0" borderId="0" xfId="5" applyAlignment="1">
      <alignment horizontal="left" vertical="center" wrapText="1"/>
    </xf>
    <xf numFmtId="0" fontId="61" fillId="0" borderId="0" xfId="0" applyFont="1"/>
    <xf numFmtId="49" fontId="62" fillId="0" borderId="0" xfId="0" applyNumberFormat="1" applyFont="1" applyAlignment="1">
      <alignment horizontal="left"/>
    </xf>
    <xf numFmtId="43" fontId="63" fillId="0" borderId="0" xfId="0" applyNumberFormat="1" applyFont="1"/>
    <xf numFmtId="0" fontId="64" fillId="0" borderId="0" xfId="0" applyFont="1"/>
    <xf numFmtId="43" fontId="65" fillId="0" borderId="0" xfId="1" applyNumberFormat="1" applyFont="1"/>
    <xf numFmtId="49" fontId="55" fillId="11" borderId="0" xfId="0" applyNumberFormat="1" applyFont="1" applyFill="1" applyAlignment="1">
      <alignment horizontal="left"/>
    </xf>
    <xf numFmtId="0" fontId="66" fillId="11" borderId="0" xfId="0" applyFont="1" applyFill="1"/>
    <xf numFmtId="43" fontId="67" fillId="11" borderId="25" xfId="1" applyNumberFormat="1" applyFont="1" applyFill="1" applyBorder="1"/>
    <xf numFmtId="43" fontId="0" fillId="0" borderId="0" xfId="3" applyFont="1"/>
    <xf numFmtId="0" fontId="68" fillId="0" borderId="0" xfId="0" applyFont="1"/>
    <xf numFmtId="4" fontId="0" fillId="0" borderId="0" xfId="0" applyNumberFormat="1"/>
    <xf numFmtId="0" fontId="19" fillId="0" borderId="0" xfId="0" applyFont="1" applyAlignment="1">
      <alignment horizontal="right"/>
    </xf>
    <xf numFmtId="44" fontId="19" fillId="0" borderId="0" xfId="6" applyFont="1"/>
    <xf numFmtId="44" fontId="0" fillId="0" borderId="0" xfId="0" applyNumberFormat="1"/>
    <xf numFmtId="0" fontId="0" fillId="9" borderId="0" xfId="0" applyFill="1"/>
    <xf numFmtId="43" fontId="0" fillId="9" borderId="0" xfId="0" applyNumberFormat="1" applyFill="1"/>
    <xf numFmtId="0" fontId="51" fillId="0" borderId="0" xfId="0" applyFont="1"/>
    <xf numFmtId="0" fontId="51" fillId="12" borderId="0" xfId="0" applyFont="1" applyFill="1"/>
    <xf numFmtId="14" fontId="51" fillId="0" borderId="0" xfId="0" applyNumberFormat="1" applyFont="1"/>
    <xf numFmtId="14" fontId="0" fillId="0" borderId="0" xfId="0" applyNumberFormat="1"/>
    <xf numFmtId="0" fontId="0" fillId="12" borderId="0" xfId="0" applyFill="1"/>
    <xf numFmtId="20" fontId="0" fillId="0" borderId="0" xfId="0" applyNumberFormat="1"/>
    <xf numFmtId="43" fontId="51" fillId="0" borderId="0" xfId="3" applyFont="1"/>
    <xf numFmtId="172" fontId="51" fillId="0" borderId="0" xfId="3" applyNumberFormat="1" applyFont="1"/>
    <xf numFmtId="43" fontId="51" fillId="0" borderId="25" xfId="3" applyFont="1" applyBorder="1"/>
    <xf numFmtId="14" fontId="0" fillId="0" borderId="0" xfId="0" applyNumberFormat="1" applyAlignment="1">
      <alignment horizontal="left"/>
    </xf>
    <xf numFmtId="0" fontId="0" fillId="0" borderId="0" xfId="0" applyAlignment="1">
      <alignment horizontal="left"/>
    </xf>
    <xf numFmtId="0" fontId="72" fillId="0" borderId="0" xfId="8" applyFont="1" applyAlignment="1">
      <alignment horizontal="center" vertical="center" wrapText="1"/>
    </xf>
    <xf numFmtId="0" fontId="0" fillId="0" borderId="0" xfId="0" pivotButton="1"/>
    <xf numFmtId="0" fontId="73" fillId="0" borderId="0" xfId="0" applyFont="1" applyAlignment="1">
      <alignment horizontal="left"/>
    </xf>
    <xf numFmtId="0" fontId="74" fillId="0" borderId="0" xfId="0" applyFont="1" applyAlignment="1">
      <alignment horizontal="left"/>
    </xf>
    <xf numFmtId="0" fontId="36" fillId="13" borderId="7" xfId="0" applyFont="1" applyFill="1" applyBorder="1" applyAlignment="1">
      <alignment horizontal="left"/>
    </xf>
    <xf numFmtId="166" fontId="74" fillId="0" borderId="0" xfId="0" applyNumberFormat="1" applyFont="1" applyAlignment="1">
      <alignment horizontal="left"/>
    </xf>
    <xf numFmtId="166" fontId="0" fillId="0" borderId="0" xfId="0" applyNumberFormat="1" applyAlignment="1">
      <alignment horizontal="right"/>
    </xf>
    <xf numFmtId="166" fontId="0" fillId="0" borderId="0" xfId="0" applyNumberFormat="1"/>
    <xf numFmtId="166" fontId="36" fillId="13" borderId="7" xfId="0" applyNumberFormat="1" applyFont="1" applyFill="1" applyBorder="1" applyAlignment="1">
      <alignment horizontal="left"/>
    </xf>
    <xf numFmtId="49" fontId="36" fillId="13" borderId="7" xfId="0" applyNumberFormat="1" applyFont="1" applyFill="1" applyBorder="1" applyAlignment="1">
      <alignment horizontal="left"/>
    </xf>
    <xf numFmtId="166" fontId="36" fillId="13" borderId="7" xfId="0" applyNumberFormat="1" applyFont="1" applyFill="1" applyBorder="1"/>
    <xf numFmtId="0" fontId="73" fillId="0" borderId="0" xfId="0" applyFont="1"/>
    <xf numFmtId="166" fontId="36" fillId="13" borderId="0" xfId="0" applyNumberFormat="1" applyFont="1" applyFill="1"/>
    <xf numFmtId="166" fontId="36" fillId="13" borderId="26" xfId="0" applyNumberFormat="1" applyFont="1" applyFill="1" applyBorder="1"/>
    <xf numFmtId="166" fontId="36" fillId="13" borderId="17" xfId="0" applyNumberFormat="1" applyFont="1" applyFill="1" applyBorder="1"/>
    <xf numFmtId="49" fontId="30" fillId="9" borderId="12" xfId="0" applyNumberFormat="1" applyFont="1" applyFill="1" applyBorder="1" applyAlignment="1">
      <alignment horizontal="left"/>
    </xf>
    <xf numFmtId="49" fontId="30" fillId="4" borderId="12" xfId="0" applyNumberFormat="1" applyFont="1" applyFill="1" applyBorder="1" applyAlignment="1">
      <alignment horizontal="left"/>
    </xf>
    <xf numFmtId="0" fontId="0" fillId="14" borderId="12" xfId="0" applyFill="1" applyBorder="1" applyAlignment="1">
      <alignment horizontal="left"/>
    </xf>
    <xf numFmtId="166" fontId="0" fillId="15" borderId="12" xfId="0" applyNumberFormat="1" applyFill="1" applyBorder="1" applyAlignment="1">
      <alignment horizontal="right"/>
    </xf>
    <xf numFmtId="166" fontId="0" fillId="16" borderId="12" xfId="0" applyNumberFormat="1" applyFill="1" applyBorder="1" applyAlignment="1">
      <alignment horizontal="right"/>
    </xf>
    <xf numFmtId="166" fontId="0" fillId="3" borderId="12" xfId="0" applyNumberFormat="1" applyFill="1" applyBorder="1" applyAlignment="1">
      <alignment horizontal="right"/>
    </xf>
    <xf numFmtId="166" fontId="0" fillId="11" borderId="7" xfId="0" applyNumberFormat="1" applyFill="1" applyBorder="1"/>
    <xf numFmtId="0" fontId="0" fillId="17" borderId="7" xfId="0" applyFill="1" applyBorder="1" applyAlignment="1">
      <alignment horizontal="left"/>
    </xf>
    <xf numFmtId="166" fontId="0" fillId="0" borderId="7" xfId="0" applyNumberFormat="1" applyBorder="1"/>
    <xf numFmtId="43" fontId="0" fillId="0" borderId="0" xfId="3" applyFont="1" applyBorder="1"/>
    <xf numFmtId="0" fontId="54" fillId="0" borderId="0" xfId="9" applyFont="1" applyAlignment="1">
      <alignment horizontal="left" vertical="center"/>
    </xf>
    <xf numFmtId="0" fontId="14" fillId="0" borderId="0" xfId="9"/>
    <xf numFmtId="173" fontId="14" fillId="0" borderId="0" xfId="9" applyNumberFormat="1"/>
    <xf numFmtId="0" fontId="14" fillId="0" borderId="28" xfId="9" applyBorder="1"/>
    <xf numFmtId="0" fontId="75" fillId="0" borderId="0" xfId="9" applyFont="1"/>
    <xf numFmtId="0" fontId="51" fillId="0" borderId="0" xfId="9" applyFont="1"/>
    <xf numFmtId="14" fontId="14" fillId="0" borderId="0" xfId="9" applyNumberFormat="1" applyAlignment="1">
      <alignment horizontal="left"/>
    </xf>
    <xf numFmtId="49" fontId="76" fillId="0" borderId="0" xfId="9" applyNumberFormat="1" applyFont="1"/>
    <xf numFmtId="174" fontId="76" fillId="0" borderId="0" xfId="9" applyNumberFormat="1" applyFont="1"/>
    <xf numFmtId="14" fontId="14" fillId="0" borderId="0" xfId="9" applyNumberFormat="1"/>
    <xf numFmtId="0" fontId="69" fillId="0" borderId="0" xfId="10"/>
    <xf numFmtId="0" fontId="77" fillId="0" borderId="0" xfId="9" applyFont="1" applyAlignment="1">
      <alignment wrapText="1"/>
    </xf>
    <xf numFmtId="0" fontId="77" fillId="0" borderId="0" xfId="9" applyFont="1"/>
    <xf numFmtId="14" fontId="76" fillId="0" borderId="0" xfId="9" applyNumberFormat="1" applyFont="1" applyAlignment="1">
      <alignment horizontal="left"/>
    </xf>
    <xf numFmtId="0" fontId="76" fillId="0" borderId="0" xfId="9" applyFont="1"/>
    <xf numFmtId="0" fontId="51" fillId="0" borderId="0" xfId="9" applyFont="1" applyAlignment="1">
      <alignment wrapText="1"/>
    </xf>
    <xf numFmtId="0" fontId="14" fillId="0" borderId="0" xfId="9" applyAlignment="1">
      <alignment wrapText="1"/>
    </xf>
    <xf numFmtId="0" fontId="14" fillId="0" borderId="0" xfId="9" quotePrefix="1" applyAlignment="1">
      <alignment horizontal="left" wrapText="1"/>
    </xf>
    <xf numFmtId="4" fontId="14" fillId="0" borderId="0" xfId="9" applyNumberFormat="1" applyAlignment="1">
      <alignment horizontal="center"/>
    </xf>
    <xf numFmtId="14" fontId="76" fillId="0" borderId="0" xfId="9" applyNumberFormat="1" applyFont="1" applyAlignment="1">
      <alignment horizontal="left" wrapText="1"/>
    </xf>
    <xf numFmtId="0" fontId="76" fillId="0" borderId="0" xfId="9" applyFont="1" applyAlignment="1">
      <alignment wrapText="1"/>
    </xf>
    <xf numFmtId="49" fontId="76" fillId="0" borderId="0" xfId="9" applyNumberFormat="1" applyFont="1" applyAlignment="1">
      <alignment wrapText="1"/>
    </xf>
    <xf numFmtId="174" fontId="76" fillId="0" borderId="0" xfId="9" applyNumberFormat="1" applyFont="1" applyAlignment="1">
      <alignment wrapText="1"/>
    </xf>
    <xf numFmtId="4" fontId="14" fillId="0" borderId="8" xfId="9" applyNumberFormat="1" applyBorder="1" applyAlignment="1">
      <alignment horizontal="center"/>
    </xf>
    <xf numFmtId="4" fontId="14" fillId="0" borderId="0" xfId="9" applyNumberFormat="1"/>
    <xf numFmtId="0" fontId="51" fillId="0" borderId="0" xfId="9" applyFont="1" applyAlignment="1">
      <alignment vertical="center"/>
    </xf>
    <xf numFmtId="0" fontId="14" fillId="0" borderId="0" xfId="9" quotePrefix="1" applyAlignment="1">
      <alignment horizontal="left" vertical="center" wrapText="1"/>
    </xf>
    <xf numFmtId="4" fontId="14" fillId="0" borderId="0" xfId="9" applyNumberFormat="1" applyAlignment="1">
      <alignment horizontal="center" vertical="center"/>
    </xf>
    <xf numFmtId="4" fontId="51" fillId="0" borderId="27" xfId="9" applyNumberFormat="1" applyFont="1" applyBorder="1" applyAlignment="1">
      <alignment horizontal="center"/>
    </xf>
    <xf numFmtId="0" fontId="14" fillId="0" borderId="8" xfId="9" applyBorder="1"/>
    <xf numFmtId="14" fontId="14" fillId="0" borderId="8" xfId="9" applyNumberFormat="1" applyBorder="1" applyAlignment="1">
      <alignment horizontal="left"/>
    </xf>
    <xf numFmtId="43" fontId="57" fillId="0" borderId="13" xfId="1" applyNumberFormat="1" applyFont="1" applyFill="1" applyBorder="1" applyAlignment="1">
      <alignment horizontal="center"/>
    </xf>
    <xf numFmtId="0" fontId="19" fillId="0" borderId="15" xfId="0" applyFont="1" applyBorder="1"/>
    <xf numFmtId="0" fontId="78" fillId="0" borderId="0" xfId="0" applyFont="1"/>
    <xf numFmtId="0" fontId="79" fillId="0" borderId="0" xfId="0" applyFont="1"/>
    <xf numFmtId="0" fontId="80" fillId="0" borderId="0" xfId="0" applyFont="1"/>
    <xf numFmtId="0" fontId="72" fillId="0" borderId="0" xfId="0" applyFont="1" applyAlignment="1">
      <alignment horizontal="center" vertical="center" wrapText="1"/>
    </xf>
    <xf numFmtId="14" fontId="76" fillId="0" borderId="0" xfId="0" applyNumberFormat="1" applyFont="1"/>
    <xf numFmtId="0" fontId="76" fillId="0" borderId="0" xfId="0" applyFont="1" applyAlignment="1">
      <alignment horizontal="right" indent="4"/>
    </xf>
    <xf numFmtId="49" fontId="76" fillId="0" borderId="0" xfId="0" applyNumberFormat="1" applyFont="1"/>
    <xf numFmtId="0" fontId="76" fillId="0" borderId="0" xfId="0" applyFont="1"/>
    <xf numFmtId="49" fontId="72" fillId="0" borderId="0" xfId="0" applyNumberFormat="1" applyFont="1"/>
    <xf numFmtId="43" fontId="57" fillId="0" borderId="18" xfId="1" applyNumberFormat="1" applyFont="1" applyFill="1" applyBorder="1" applyAlignment="1">
      <alignment horizontal="center"/>
    </xf>
    <xf numFmtId="14" fontId="76" fillId="18" borderId="0" xfId="0" applyNumberFormat="1" applyFont="1" applyFill="1"/>
    <xf numFmtId="0" fontId="76" fillId="18" borderId="0" xfId="0" applyFont="1" applyFill="1" applyAlignment="1">
      <alignment horizontal="right" indent="4"/>
    </xf>
    <xf numFmtId="49" fontId="76" fillId="18" borderId="0" xfId="0" applyNumberFormat="1" applyFont="1" applyFill="1"/>
    <xf numFmtId="0" fontId="76" fillId="18" borderId="0" xfId="0" applyFont="1" applyFill="1"/>
    <xf numFmtId="0" fontId="0" fillId="18" borderId="0" xfId="0" applyFill="1"/>
    <xf numFmtId="0" fontId="95" fillId="0" borderId="0" xfId="0" applyFont="1"/>
    <xf numFmtId="14" fontId="76" fillId="9" borderId="0" xfId="0" applyNumberFormat="1" applyFont="1" applyFill="1"/>
    <xf numFmtId="0" fontId="76" fillId="9" borderId="0" xfId="0" applyFont="1" applyFill="1" applyAlignment="1">
      <alignment horizontal="right" indent="4"/>
    </xf>
    <xf numFmtId="49" fontId="76" fillId="9" borderId="0" xfId="0" applyNumberFormat="1" applyFont="1" applyFill="1"/>
    <xf numFmtId="0" fontId="76" fillId="9" borderId="0" xfId="0" applyFont="1" applyFill="1"/>
    <xf numFmtId="164" fontId="19" fillId="0" borderId="0" xfId="0" applyNumberFormat="1" applyFont="1" applyAlignment="1" applyProtection="1">
      <alignment wrapText="1"/>
      <protection locked="0"/>
    </xf>
    <xf numFmtId="164" fontId="19" fillId="0" borderId="0" xfId="0" applyNumberFormat="1" applyFont="1" applyAlignment="1" applyProtection="1">
      <alignment horizontal="left" wrapText="1"/>
      <protection locked="0"/>
    </xf>
    <xf numFmtId="0" fontId="53" fillId="50" borderId="0" xfId="0" applyFont="1" applyFill="1"/>
    <xf numFmtId="4" fontId="76" fillId="0" borderId="0" xfId="0" applyNumberFormat="1" applyFont="1"/>
    <xf numFmtId="0" fontId="76" fillId="0" borderId="0" xfId="0" applyFont="1" applyAlignment="1">
      <alignment wrapText="1"/>
    </xf>
    <xf numFmtId="43" fontId="0" fillId="0" borderId="15" xfId="3" applyFont="1" applyBorder="1"/>
    <xf numFmtId="43" fontId="0" fillId="0" borderId="15" xfId="0" applyNumberFormat="1" applyBorder="1"/>
    <xf numFmtId="4" fontId="72" fillId="0" borderId="15" xfId="0" applyNumberFormat="1" applyFont="1" applyBorder="1"/>
    <xf numFmtId="0" fontId="14" fillId="0" borderId="0" xfId="9" applyAlignment="1">
      <alignment horizontal="left"/>
    </xf>
    <xf numFmtId="167" fontId="30" fillId="10" borderId="9" xfId="0" applyNumberFormat="1" applyFont="1" applyFill="1" applyBorder="1" applyAlignment="1" applyProtection="1">
      <alignment horizontal="right" vertical="center"/>
      <protection locked="0"/>
    </xf>
    <xf numFmtId="167" fontId="30" fillId="10" borderId="3" xfId="0" applyNumberFormat="1" applyFont="1" applyFill="1" applyBorder="1" applyAlignment="1" applyProtection="1">
      <alignment horizontal="right" vertical="center"/>
      <protection locked="0"/>
    </xf>
    <xf numFmtId="0" fontId="0" fillId="51" borderId="0" xfId="0" applyFill="1"/>
    <xf numFmtId="14" fontId="0" fillId="51" borderId="0" xfId="0" applyNumberFormat="1" applyFill="1"/>
    <xf numFmtId="43" fontId="0" fillId="51" borderId="0" xfId="3" applyFont="1" applyFill="1"/>
    <xf numFmtId="0" fontId="53" fillId="0" borderId="20" xfId="0" applyFont="1" applyBorder="1" applyAlignment="1">
      <alignment wrapText="1"/>
    </xf>
    <xf numFmtId="43" fontId="57" fillId="0" borderId="19" xfId="1" applyNumberFormat="1" applyFont="1" applyBorder="1" applyAlignment="1">
      <alignment horizontal="center"/>
    </xf>
    <xf numFmtId="0" fontId="71" fillId="0" borderId="0" xfId="0" applyFont="1"/>
    <xf numFmtId="0" fontId="100" fillId="52" borderId="38" xfId="67" applyFont="1" applyFill="1" applyBorder="1" applyAlignment="1">
      <alignment horizontal="center" vertical="center"/>
    </xf>
    <xf numFmtId="0" fontId="0" fillId="51" borderId="0" xfId="0" applyFill="1" applyAlignment="1">
      <alignment horizontal="left"/>
    </xf>
    <xf numFmtId="43" fontId="0" fillId="51" borderId="0" xfId="0" applyNumberFormat="1" applyFill="1"/>
    <xf numFmtId="14" fontId="0" fillId="51" borderId="0" xfId="0" applyNumberFormat="1" applyFill="1" applyAlignment="1">
      <alignment horizontal="left"/>
    </xf>
    <xf numFmtId="0" fontId="69" fillId="0" borderId="0" xfId="7"/>
    <xf numFmtId="49" fontId="70" fillId="0" borderId="0" xfId="7" applyNumberFormat="1" applyFont="1"/>
    <xf numFmtId="171" fontId="69" fillId="0" borderId="0" xfId="7" applyNumberFormat="1"/>
    <xf numFmtId="49" fontId="69" fillId="0" borderId="0" xfId="7" applyNumberFormat="1"/>
    <xf numFmtId="0" fontId="71" fillId="0" borderId="0" xfId="7" applyFont="1"/>
    <xf numFmtId="0" fontId="61" fillId="0" borderId="0" xfId="7" applyFont="1"/>
    <xf numFmtId="49" fontId="61" fillId="0" borderId="0" xfId="7" applyNumberFormat="1" applyFont="1" applyAlignment="1">
      <alignment horizontal="left"/>
    </xf>
    <xf numFmtId="49" fontId="61" fillId="0" borderId="0" xfId="7" applyNumberFormat="1" applyFont="1" applyAlignment="1">
      <alignment horizontal="right"/>
    </xf>
    <xf numFmtId="49" fontId="61" fillId="0" borderId="0" xfId="7" applyNumberFormat="1" applyFont="1" applyAlignment="1">
      <alignment horizontal="center" wrapText="1"/>
    </xf>
    <xf numFmtId="49" fontId="61" fillId="0" borderId="0" xfId="7" applyNumberFormat="1" applyFont="1" applyAlignment="1">
      <alignment horizontal="right" wrapText="1"/>
    </xf>
    <xf numFmtId="49" fontId="61" fillId="0" borderId="0" xfId="7" applyNumberFormat="1" applyFont="1"/>
    <xf numFmtId="49" fontId="69" fillId="0" borderId="0" xfId="7" applyNumberFormat="1" applyAlignment="1">
      <alignment horizontal="left"/>
    </xf>
    <xf numFmtId="14" fontId="69" fillId="0" borderId="0" xfId="7" applyNumberFormat="1" applyAlignment="1">
      <alignment horizontal="right"/>
    </xf>
    <xf numFmtId="49" fontId="69" fillId="0" borderId="0" xfId="7" applyNumberFormat="1" applyAlignment="1">
      <alignment horizontal="right"/>
    </xf>
    <xf numFmtId="49" fontId="69" fillId="0" borderId="0" xfId="7" applyNumberFormat="1" applyAlignment="1">
      <alignment horizontal="center"/>
    </xf>
    <xf numFmtId="1" fontId="69" fillId="0" borderId="0" xfId="7" applyNumberFormat="1" applyAlignment="1">
      <alignment horizontal="right"/>
    </xf>
    <xf numFmtId="170" fontId="69" fillId="0" borderId="0" xfId="7" applyNumberFormat="1" applyAlignment="1">
      <alignment horizontal="right"/>
    </xf>
    <xf numFmtId="170" fontId="69" fillId="0" borderId="15" xfId="7" applyNumberFormat="1" applyBorder="1" applyAlignment="1">
      <alignment horizontal="right"/>
    </xf>
    <xf numFmtId="169" fontId="19" fillId="9" borderId="27" xfId="0" applyNumberFormat="1" applyFont="1" applyFill="1" applyBorder="1"/>
    <xf numFmtId="49" fontId="30" fillId="9" borderId="16" xfId="0" quotePrefix="1" applyNumberFormat="1" applyFont="1" applyFill="1" applyBorder="1" applyAlignment="1">
      <alignment horizontal="left"/>
    </xf>
    <xf numFmtId="49" fontId="30" fillId="4" borderId="16" xfId="0" quotePrefix="1" applyNumberFormat="1" applyFont="1" applyFill="1" applyBorder="1" applyAlignment="1">
      <alignment horizontal="left"/>
    </xf>
    <xf numFmtId="0" fontId="0" fillId="53" borderId="16" xfId="0" quotePrefix="1" applyFill="1" applyBorder="1" applyAlignment="1">
      <alignment horizontal="left"/>
    </xf>
    <xf numFmtId="166" fontId="0" fillId="15" borderId="16" xfId="0" applyNumberFormat="1" applyFill="1" applyBorder="1" applyAlignment="1">
      <alignment horizontal="right"/>
    </xf>
    <xf numFmtId="166" fontId="0" fillId="16" borderId="16" xfId="0" applyNumberFormat="1" applyFill="1" applyBorder="1" applyAlignment="1">
      <alignment horizontal="right"/>
    </xf>
    <xf numFmtId="166" fontId="0" fillId="3" borderId="16" xfId="0" applyNumberFormat="1" applyFill="1" applyBorder="1" applyAlignment="1">
      <alignment horizontal="right"/>
    </xf>
    <xf numFmtId="166" fontId="0" fillId="0" borderId="1" xfId="0" applyNumberFormat="1" applyBorder="1"/>
    <xf numFmtId="166" fontId="0" fillId="0" borderId="16" xfId="0" applyNumberFormat="1" applyBorder="1"/>
    <xf numFmtId="0" fontId="100" fillId="52" borderId="38" xfId="0" applyFont="1" applyFill="1" applyBorder="1" applyAlignment="1">
      <alignment horizontal="center" vertical="center"/>
    </xf>
    <xf numFmtId="175" fontId="101" fillId="0" borderId="39" xfId="0" applyNumberFormat="1" applyFont="1" applyBorder="1" applyAlignment="1">
      <alignment horizontal="center" vertical="center"/>
    </xf>
    <xf numFmtId="0" fontId="101" fillId="0" borderId="39" xfId="0" applyFont="1" applyBorder="1" applyAlignment="1">
      <alignment horizontal="left" vertical="center"/>
    </xf>
    <xf numFmtId="0" fontId="0" fillId="0" borderId="39" xfId="0" applyBorder="1"/>
    <xf numFmtId="0" fontId="101" fillId="0" borderId="39" xfId="0" applyFont="1" applyBorder="1" applyAlignment="1">
      <alignment horizontal="right" vertical="top"/>
    </xf>
    <xf numFmtId="4" fontId="101" fillId="0" borderId="39" xfId="0" applyNumberFormat="1" applyFont="1" applyBorder="1" applyAlignment="1">
      <alignment horizontal="right" vertical="top"/>
    </xf>
    <xf numFmtId="0" fontId="101" fillId="0" borderId="39" xfId="0" applyFont="1" applyBorder="1" applyAlignment="1">
      <alignment horizontal="left" vertical="center" wrapText="1"/>
    </xf>
    <xf numFmtId="175" fontId="101" fillId="9" borderId="39" xfId="0" applyNumberFormat="1" applyFont="1" applyFill="1" applyBorder="1" applyAlignment="1">
      <alignment horizontal="center" vertical="center"/>
    </xf>
    <xf numFmtId="0" fontId="101" fillId="9" borderId="39" xfId="0" applyFont="1" applyFill="1" applyBorder="1" applyAlignment="1">
      <alignment horizontal="left" vertical="center"/>
    </xf>
    <xf numFmtId="0" fontId="0" fillId="9" borderId="39" xfId="0" applyFill="1" applyBorder="1"/>
    <xf numFmtId="0" fontId="101" fillId="9" borderId="39" xfId="0" applyFont="1" applyFill="1" applyBorder="1" applyAlignment="1">
      <alignment horizontal="right" vertical="top"/>
    </xf>
    <xf numFmtId="4" fontId="101" fillId="9" borderId="39" xfId="0" applyNumberFormat="1" applyFont="1" applyFill="1" applyBorder="1" applyAlignment="1">
      <alignment horizontal="right" vertical="top"/>
    </xf>
    <xf numFmtId="0" fontId="100" fillId="52" borderId="0" xfId="0" applyFont="1" applyFill="1" applyAlignment="1">
      <alignment horizontal="center" vertical="center"/>
    </xf>
    <xf numFmtId="19" fontId="38" fillId="0" borderId="0" xfId="0" applyNumberFormat="1" applyFont="1" applyAlignment="1">
      <alignment horizontal="right" vertical="top"/>
    </xf>
    <xf numFmtId="0" fontId="19" fillId="0" borderId="25" xfId="0" applyFont="1" applyBorder="1"/>
    <xf numFmtId="43" fontId="19" fillId="0" borderId="25" xfId="3" applyFont="1" applyBorder="1"/>
    <xf numFmtId="43" fontId="57" fillId="0" borderId="7" xfId="1" applyNumberFormat="1" applyFont="1" applyBorder="1" applyAlignment="1">
      <alignment horizontal="center"/>
    </xf>
    <xf numFmtId="0" fontId="53" fillId="0" borderId="14" xfId="0" applyFont="1" applyBorder="1" applyAlignment="1">
      <alignment wrapText="1"/>
    </xf>
    <xf numFmtId="166" fontId="19" fillId="0" borderId="0" xfId="0" applyNumberFormat="1" applyFont="1"/>
    <xf numFmtId="168" fontId="57" fillId="0" borderId="20" xfId="1" applyNumberFormat="1" applyFont="1" applyBorder="1"/>
    <xf numFmtId="43" fontId="58" fillId="0" borderId="7" xfId="0" applyNumberFormat="1" applyFont="1" applyBorder="1"/>
    <xf numFmtId="0" fontId="56" fillId="0" borderId="40" xfId="0" applyFont="1" applyBorder="1" applyAlignment="1">
      <alignment wrapText="1"/>
    </xf>
    <xf numFmtId="43" fontId="57" fillId="0" borderId="7" xfId="1" applyNumberFormat="1" applyFont="1" applyFill="1" applyBorder="1" applyAlignment="1">
      <alignment horizontal="center"/>
    </xf>
    <xf numFmtId="14" fontId="0" fillId="0" borderId="14" xfId="0" applyNumberFormat="1" applyBorder="1" applyAlignment="1">
      <alignment horizontal="left"/>
    </xf>
    <xf numFmtId="49" fontId="69" fillId="9" borderId="0" xfId="7" applyNumberFormat="1" applyFill="1" applyAlignment="1">
      <alignment horizontal="left"/>
    </xf>
    <xf numFmtId="14" fontId="69" fillId="9" borderId="0" xfId="7" applyNumberFormat="1" applyFill="1" applyAlignment="1">
      <alignment horizontal="right"/>
    </xf>
    <xf numFmtId="49" fontId="69" fillId="9" borderId="0" xfId="7" applyNumberFormat="1" applyFill="1" applyAlignment="1">
      <alignment horizontal="right"/>
    </xf>
    <xf numFmtId="49" fontId="69" fillId="9" borderId="0" xfId="7" applyNumberFormat="1" applyFill="1" applyAlignment="1">
      <alignment horizontal="center"/>
    </xf>
    <xf numFmtId="1" fontId="69" fillId="9" borderId="0" xfId="7" applyNumberFormat="1" applyFill="1" applyAlignment="1">
      <alignment horizontal="right"/>
    </xf>
    <xf numFmtId="170" fontId="69" fillId="9" borderId="0" xfId="7" applyNumberFormat="1" applyFill="1" applyAlignment="1">
      <alignment horizontal="right"/>
    </xf>
    <xf numFmtId="169" fontId="69" fillId="0" borderId="0" xfId="7" applyNumberFormat="1"/>
    <xf numFmtId="2" fontId="0" fillId="0" borderId="0" xfId="0" applyNumberFormat="1"/>
    <xf numFmtId="0" fontId="61" fillId="9" borderId="0" xfId="0" applyFont="1" applyFill="1"/>
    <xf numFmtId="0" fontId="69" fillId="9" borderId="0" xfId="7" applyFill="1"/>
    <xf numFmtId="43" fontId="69" fillId="9" borderId="0" xfId="3" applyFont="1" applyFill="1"/>
    <xf numFmtId="169" fontId="69" fillId="9" borderId="0" xfId="7" applyNumberFormat="1" applyFill="1"/>
    <xf numFmtId="43" fontId="0" fillId="0" borderId="0" xfId="3" applyFont="1" applyFill="1"/>
    <xf numFmtId="0" fontId="95" fillId="51" borderId="0" xfId="0" applyFont="1" applyFill="1"/>
    <xf numFmtId="4" fontId="14" fillId="0" borderId="8" xfId="9" applyNumberFormat="1" applyBorder="1" applyAlignment="1">
      <alignment horizontal="center" vertical="center"/>
    </xf>
    <xf numFmtId="0" fontId="51" fillId="9" borderId="0" xfId="9" applyFont="1" applyFill="1"/>
    <xf numFmtId="0" fontId="14" fillId="9" borderId="0" xfId="9" applyFill="1" applyAlignment="1">
      <alignment horizontal="left"/>
    </xf>
    <xf numFmtId="4" fontId="14" fillId="9" borderId="0" xfId="9" applyNumberFormat="1" applyFill="1" applyAlignment="1">
      <alignment horizontal="center"/>
    </xf>
    <xf numFmtId="14" fontId="14" fillId="9" borderId="0" xfId="9" applyNumberFormat="1" applyFill="1"/>
    <xf numFmtId="49" fontId="69" fillId="53" borderId="0" xfId="7" applyNumberFormat="1" applyFill="1" applyAlignment="1">
      <alignment horizontal="left"/>
    </xf>
    <xf numFmtId="14" fontId="69" fillId="53" borderId="0" xfId="7" applyNumberFormat="1" applyFill="1" applyAlignment="1">
      <alignment horizontal="right"/>
    </xf>
    <xf numFmtId="49" fontId="69" fillId="53" borderId="0" xfId="7" applyNumberFormat="1" applyFill="1" applyAlignment="1">
      <alignment horizontal="right"/>
    </xf>
    <xf numFmtId="49" fontId="69" fillId="53" borderId="0" xfId="7" applyNumberFormat="1" applyFill="1" applyAlignment="1">
      <alignment horizontal="center"/>
    </xf>
    <xf numFmtId="1" fontId="69" fillId="53" borderId="0" xfId="7" applyNumberFormat="1" applyFill="1" applyAlignment="1">
      <alignment horizontal="right"/>
    </xf>
    <xf numFmtId="170" fontId="69" fillId="53" borderId="0" xfId="7" applyNumberFormat="1" applyFill="1" applyAlignment="1">
      <alignment horizontal="right"/>
    </xf>
    <xf numFmtId="0" fontId="19" fillId="53" borderId="0" xfId="0" applyFont="1" applyFill="1"/>
    <xf numFmtId="0" fontId="0" fillId="53" borderId="0" xfId="0" applyFill="1"/>
    <xf numFmtId="168" fontId="57" fillId="0" borderId="20" xfId="1" applyNumberFormat="1" applyFont="1" applyBorder="1" applyAlignment="1">
      <alignment shrinkToFit="1"/>
    </xf>
    <xf numFmtId="168" fontId="57" fillId="0" borderId="14" xfId="1" applyNumberFormat="1" applyFont="1" applyFill="1" applyBorder="1" applyAlignment="1">
      <alignment shrinkToFit="1"/>
    </xf>
    <xf numFmtId="164" fontId="30" fillId="10" borderId="42" xfId="0" applyNumberFormat="1" applyFont="1" applyFill="1" applyBorder="1" applyAlignment="1" applyProtection="1">
      <alignment vertical="center" wrapText="1"/>
      <protection locked="0"/>
    </xf>
    <xf numFmtId="0" fontId="30" fillId="10" borderId="42" xfId="0" applyFont="1" applyFill="1" applyBorder="1" applyAlignment="1" applyProtection="1">
      <alignment vertical="center" wrapText="1"/>
      <protection locked="0"/>
    </xf>
    <xf numFmtId="0" fontId="30" fillId="10" borderId="43" xfId="0" applyFont="1" applyFill="1" applyBorder="1" applyAlignment="1" applyProtection="1">
      <alignment vertical="center" wrapText="1"/>
      <protection locked="0"/>
    </xf>
    <xf numFmtId="167" fontId="30" fillId="10" borderId="41" xfId="0" applyNumberFormat="1" applyFont="1" applyFill="1" applyBorder="1" applyAlignment="1" applyProtection="1">
      <alignment vertical="center"/>
      <protection locked="0"/>
    </xf>
    <xf numFmtId="164" fontId="19" fillId="0" borderId="8" xfId="0" applyNumberFormat="1" applyFont="1" applyBorder="1" applyAlignment="1" applyProtection="1">
      <alignment horizontal="left" wrapText="1"/>
      <protection locked="0"/>
    </xf>
    <xf numFmtId="0" fontId="0" fillId="0" borderId="0" xfId="0" applyAlignment="1">
      <alignment horizontal="left" indent="1"/>
    </xf>
    <xf numFmtId="169" fontId="0" fillId="0" borderId="0" xfId="0" applyNumberFormat="1"/>
    <xf numFmtId="0" fontId="19" fillId="9" borderId="0" xfId="0" applyFont="1" applyFill="1"/>
    <xf numFmtId="0" fontId="19" fillId="9" borderId="0" xfId="0" applyFont="1" applyFill="1" applyAlignment="1">
      <alignment horizontal="right"/>
    </xf>
    <xf numFmtId="165" fontId="19" fillId="9" borderId="0" xfId="2" applyFont="1" applyFill="1"/>
    <xf numFmtId="0" fontId="102" fillId="52" borderId="38" xfId="0" applyFont="1" applyFill="1" applyBorder="1" applyAlignment="1">
      <alignment horizontal="center" vertical="center"/>
    </xf>
    <xf numFmtId="0" fontId="102" fillId="52" borderId="0" xfId="0" applyFont="1" applyFill="1" applyAlignment="1">
      <alignment horizontal="center" vertical="center"/>
    </xf>
    <xf numFmtId="0" fontId="22" fillId="0" borderId="0" xfId="0" applyFont="1"/>
    <xf numFmtId="175" fontId="103" fillId="0" borderId="39" xfId="0" applyNumberFormat="1" applyFont="1" applyBorder="1" applyAlignment="1">
      <alignment horizontal="center" vertical="center"/>
    </xf>
    <xf numFmtId="0" fontId="103" fillId="0" borderId="39" xfId="0" applyFont="1" applyBorder="1" applyAlignment="1">
      <alignment horizontal="left" vertical="center"/>
    </xf>
    <xf numFmtId="0" fontId="103" fillId="0" borderId="39" xfId="0" applyFont="1" applyBorder="1" applyAlignment="1">
      <alignment horizontal="right" vertical="top"/>
    </xf>
    <xf numFmtId="4" fontId="103" fillId="0" borderId="39" xfId="0" applyNumberFormat="1" applyFont="1" applyBorder="1" applyAlignment="1">
      <alignment horizontal="right" vertical="top"/>
    </xf>
    <xf numFmtId="0" fontId="22" fillId="0" borderId="39" xfId="0" applyFont="1" applyBorder="1"/>
    <xf numFmtId="43" fontId="57" fillId="0" borderId="18" xfId="1" applyNumberFormat="1" applyFont="1" applyBorder="1" applyAlignment="1">
      <alignment horizontal="center"/>
    </xf>
    <xf numFmtId="176" fontId="0" fillId="0" borderId="0" xfId="0" applyNumberFormat="1"/>
    <xf numFmtId="169" fontId="0" fillId="9" borderId="0" xfId="0" applyNumberFormat="1" applyFill="1"/>
    <xf numFmtId="176" fontId="0" fillId="9" borderId="0" xfId="0" applyNumberFormat="1" applyFill="1"/>
    <xf numFmtId="175" fontId="103" fillId="9" borderId="39" xfId="0" applyNumberFormat="1" applyFont="1" applyFill="1" applyBorder="1" applyAlignment="1">
      <alignment horizontal="center" vertical="center"/>
    </xf>
    <xf numFmtId="0" fontId="103" fillId="9" borderId="39" xfId="0" applyFont="1" applyFill="1" applyBorder="1" applyAlignment="1">
      <alignment horizontal="left" vertical="center"/>
    </xf>
    <xf numFmtId="0" fontId="103" fillId="9" borderId="39" xfId="0" applyFont="1" applyFill="1" applyBorder="1" applyAlignment="1">
      <alignment horizontal="right" vertical="top"/>
    </xf>
    <xf numFmtId="4" fontId="103" fillId="9" borderId="39" xfId="0" applyNumberFormat="1" applyFont="1" applyFill="1" applyBorder="1" applyAlignment="1">
      <alignment horizontal="right" vertical="top"/>
    </xf>
    <xf numFmtId="0" fontId="22" fillId="9" borderId="0" xfId="0" applyFont="1" applyFill="1"/>
    <xf numFmtId="0" fontId="22" fillId="9" borderId="39" xfId="0" applyFont="1" applyFill="1" applyBorder="1"/>
    <xf numFmtId="43" fontId="57" fillId="0" borderId="20" xfId="1" applyNumberFormat="1" applyFont="1" applyBorder="1"/>
    <xf numFmtId="43" fontId="57" fillId="0" borderId="8" xfId="1" applyNumberFormat="1" applyFont="1" applyBorder="1" applyAlignment="1">
      <alignment horizontal="center"/>
    </xf>
    <xf numFmtId="0" fontId="58" fillId="0" borderId="19" xfId="0" applyFont="1" applyBorder="1"/>
    <xf numFmtId="43" fontId="57" fillId="0" borderId="14" xfId="1" applyNumberFormat="1" applyFont="1" applyFill="1" applyBorder="1" applyAlignment="1">
      <alignment horizontal="center"/>
    </xf>
    <xf numFmtId="164" fontId="30" fillId="10" borderId="0" xfId="0" applyNumberFormat="1" applyFont="1" applyFill="1" applyAlignment="1" applyProtection="1">
      <alignment vertical="center" wrapText="1"/>
      <protection locked="0"/>
    </xf>
    <xf numFmtId="0" fontId="30" fillId="10" borderId="0" xfId="0" applyFont="1" applyFill="1" applyAlignment="1" applyProtection="1">
      <alignment vertical="center" wrapText="1"/>
      <protection locked="0"/>
    </xf>
    <xf numFmtId="167" fontId="30" fillId="10" borderId="44" xfId="0" applyNumberFormat="1" applyFont="1" applyFill="1" applyBorder="1" applyAlignment="1" applyProtection="1">
      <alignment horizontal="right" vertical="center"/>
      <protection locked="0"/>
    </xf>
    <xf numFmtId="167" fontId="30" fillId="10" borderId="0" xfId="0" applyNumberFormat="1" applyFont="1" applyFill="1" applyAlignment="1" applyProtection="1">
      <alignment horizontal="right" vertical="center"/>
      <protection locked="0"/>
    </xf>
    <xf numFmtId="0" fontId="27" fillId="9" borderId="0" xfId="1" applyFont="1" applyFill="1" applyAlignment="1" applyProtection="1">
      <alignment vertical="center" wrapText="1"/>
    </xf>
    <xf numFmtId="0" fontId="49" fillId="54" borderId="7" xfId="0" applyFont="1" applyFill="1" applyBorder="1" applyAlignment="1">
      <alignment horizontal="center" vertical="center" wrapText="1"/>
    </xf>
    <xf numFmtId="0" fontId="27" fillId="0" borderId="0" xfId="1" applyFont="1" applyFill="1" applyAlignment="1" applyProtection="1">
      <alignment horizontal="justify" vertical="center"/>
    </xf>
    <xf numFmtId="0" fontId="27" fillId="0" borderId="0" xfId="1" applyFont="1" applyAlignment="1" applyProtection="1">
      <alignment horizontal="justify" vertical="center"/>
    </xf>
    <xf numFmtId="0" fontId="26" fillId="0" borderId="0" xfId="1" applyFont="1" applyAlignment="1" applyProtection="1">
      <alignment horizontal="justify" vertical="center"/>
    </xf>
    <xf numFmtId="0" fontId="25" fillId="0" borderId="0" xfId="1" applyFill="1" applyAlignment="1">
      <alignment wrapText="1"/>
    </xf>
    <xf numFmtId="0" fontId="27" fillId="0" borderId="0" xfId="1" applyFont="1" applyAlignment="1" applyProtection="1">
      <alignment vertical="center"/>
    </xf>
    <xf numFmtId="0" fontId="26" fillId="9" borderId="0" xfId="1" applyFont="1" applyFill="1" applyAlignment="1" applyProtection="1">
      <alignment horizontal="justify" vertical="center"/>
    </xf>
    <xf numFmtId="165" fontId="33" fillId="3" borderId="0" xfId="2" applyFont="1" applyFill="1" applyBorder="1" applyAlignment="1" applyProtection="1">
      <alignment horizontal="center" vertical="center" wrapText="1" readingOrder="1"/>
    </xf>
    <xf numFmtId="165" fontId="33" fillId="0" borderId="0" xfId="2" applyFont="1" applyFill="1" applyBorder="1" applyAlignment="1" applyProtection="1">
      <alignment horizontal="center" vertical="center" wrapText="1" readingOrder="1"/>
    </xf>
    <xf numFmtId="164" fontId="36" fillId="0" borderId="4" xfId="2" applyNumberFormat="1" applyFont="1" applyFill="1" applyBorder="1" applyAlignment="1" applyProtection="1">
      <alignment vertical="center" wrapText="1" readingOrder="1"/>
    </xf>
    <xf numFmtId="0" fontId="30" fillId="0" borderId="5" xfId="2" applyNumberFormat="1" applyFont="1" applyFill="1" applyBorder="1" applyAlignment="1" applyProtection="1">
      <alignment horizontal="center" vertical="center" wrapText="1" readingOrder="1"/>
    </xf>
    <xf numFmtId="164" fontId="36" fillId="0" borderId="0" xfId="2" applyNumberFormat="1" applyFont="1" applyFill="1" applyBorder="1" applyAlignment="1" applyProtection="1">
      <alignment vertical="center" wrapText="1" readingOrder="1"/>
    </xf>
    <xf numFmtId="0" fontId="30" fillId="0" borderId="0" xfId="2" applyNumberFormat="1" applyFont="1" applyFill="1" applyBorder="1" applyAlignment="1" applyProtection="1">
      <alignment horizontal="center" vertical="center" wrapText="1" readingOrder="1"/>
    </xf>
    <xf numFmtId="164" fontId="46" fillId="0" borderId="4" xfId="2" applyNumberFormat="1" applyFont="1" applyFill="1" applyBorder="1" applyAlignment="1" applyProtection="1">
      <alignment vertical="center" wrapText="1" readingOrder="1"/>
    </xf>
    <xf numFmtId="0" fontId="47" fillId="0" borderId="5" xfId="2" applyNumberFormat="1" applyFont="1" applyFill="1" applyBorder="1" applyAlignment="1" applyProtection="1">
      <alignment horizontal="center" vertical="center" wrapText="1" readingOrder="1"/>
    </xf>
    <xf numFmtId="165" fontId="32" fillId="0" borderId="0" xfId="2" applyFont="1" applyFill="1" applyBorder="1" applyAlignment="1" applyProtection="1">
      <alignment vertical="center" wrapText="1" readingOrder="1"/>
    </xf>
    <xf numFmtId="164" fontId="30" fillId="54" borderId="4" xfId="0" applyNumberFormat="1" applyFont="1" applyFill="1" applyBorder="1" applyAlignment="1" applyProtection="1">
      <alignment vertical="center" wrapText="1"/>
      <protection locked="0"/>
    </xf>
    <xf numFmtId="0" fontId="30" fillId="54" borderId="4" xfId="0" applyFont="1" applyFill="1" applyBorder="1" applyAlignment="1" applyProtection="1">
      <alignment vertical="center" wrapText="1"/>
      <protection locked="0"/>
    </xf>
    <xf numFmtId="0" fontId="0" fillId="0" borderId="0" xfId="0" applyAlignment="1" applyProtection="1">
      <alignment wrapText="1"/>
      <protection locked="0"/>
    </xf>
    <xf numFmtId="0" fontId="30" fillId="9" borderId="19" xfId="0" applyFont="1" applyFill="1" applyBorder="1" applyAlignment="1">
      <alignment horizontal="left"/>
    </xf>
    <xf numFmtId="0" fontId="101" fillId="0" borderId="45" xfId="0" applyFont="1" applyBorder="1" applyAlignment="1">
      <alignment horizontal="left" vertical="center"/>
    </xf>
    <xf numFmtId="0" fontId="19" fillId="9" borderId="27" xfId="0" applyFont="1" applyFill="1" applyBorder="1"/>
    <xf numFmtId="0" fontId="108" fillId="0" borderId="0" xfId="68" applyFont="1"/>
    <xf numFmtId="0" fontId="109" fillId="0" borderId="0" xfId="68" applyFont="1" applyAlignment="1">
      <alignment vertical="center" wrapText="1" readingOrder="1"/>
    </xf>
    <xf numFmtId="0" fontId="109" fillId="0" borderId="0" xfId="68" applyFont="1" applyAlignment="1">
      <alignment horizontal="right" vertical="center" wrapText="1" readingOrder="1"/>
    </xf>
    <xf numFmtId="0" fontId="111" fillId="0" borderId="0" xfId="68" applyFont="1" applyAlignment="1">
      <alignment wrapText="1" readingOrder="1"/>
    </xf>
    <xf numFmtId="0" fontId="109" fillId="0" borderId="0" xfId="68" applyFont="1" applyAlignment="1">
      <alignment vertical="top" wrapText="1" readingOrder="1"/>
    </xf>
    <xf numFmtId="0" fontId="109" fillId="0" borderId="0" xfId="68" applyFont="1" applyAlignment="1">
      <alignment horizontal="left" vertical="center" wrapText="1" readingOrder="1"/>
    </xf>
    <xf numFmtId="0" fontId="109" fillId="9" borderId="0" xfId="68" applyFont="1" applyFill="1" applyAlignment="1">
      <alignment horizontal="left" vertical="center" wrapText="1" readingOrder="1"/>
    </xf>
    <xf numFmtId="0" fontId="109" fillId="9" borderId="0" xfId="68" applyFont="1" applyFill="1" applyAlignment="1">
      <alignment vertical="center" wrapText="1" readingOrder="1"/>
    </xf>
    <xf numFmtId="0" fontId="108" fillId="9" borderId="0" xfId="68" applyFont="1" applyFill="1"/>
    <xf numFmtId="0" fontId="12" fillId="0" borderId="0" xfId="69"/>
    <xf numFmtId="14" fontId="12" fillId="0" borderId="0" xfId="69" applyNumberFormat="1"/>
    <xf numFmtId="20" fontId="12" fillId="0" borderId="0" xfId="69" applyNumberFormat="1"/>
    <xf numFmtId="0" fontId="24" fillId="0" borderId="0" xfId="0" applyFont="1"/>
    <xf numFmtId="0" fontId="113" fillId="56" borderId="0" xfId="0" applyFont="1" applyFill="1" applyAlignment="1">
      <alignment horizontal="left" wrapText="1"/>
    </xf>
    <xf numFmtId="0" fontId="114" fillId="56" borderId="46" xfId="0" applyFont="1" applyFill="1" applyBorder="1" applyAlignment="1">
      <alignment horizontal="left" vertical="center"/>
    </xf>
    <xf numFmtId="14" fontId="114" fillId="56" borderId="46" xfId="0" applyNumberFormat="1" applyFont="1" applyFill="1" applyBorder="1" applyAlignment="1">
      <alignment horizontal="left" vertical="center"/>
    </xf>
    <xf numFmtId="0" fontId="114" fillId="56" borderId="46" xfId="0" applyFont="1" applyFill="1" applyBorder="1" applyAlignment="1">
      <alignment horizontal="right" vertical="center"/>
    </xf>
    <xf numFmtId="0" fontId="114" fillId="56" borderId="0" xfId="0" applyFont="1" applyFill="1" applyAlignment="1">
      <alignment horizontal="left" vertical="center"/>
    </xf>
    <xf numFmtId="0" fontId="116" fillId="0" borderId="0" xfId="68" applyFont="1"/>
    <xf numFmtId="0" fontId="116" fillId="9" borderId="0" xfId="68" applyFont="1" applyFill="1"/>
    <xf numFmtId="0" fontId="116" fillId="57" borderId="0" xfId="68" applyFont="1" applyFill="1"/>
    <xf numFmtId="17" fontId="0" fillId="0" borderId="0" xfId="0" applyNumberFormat="1"/>
    <xf numFmtId="49" fontId="51" fillId="0" borderId="0" xfId="0" applyNumberFormat="1" applyFont="1"/>
    <xf numFmtId="49" fontId="0" fillId="0" borderId="0" xfId="0" applyNumberFormat="1"/>
    <xf numFmtId="43" fontId="19" fillId="9" borderId="0" xfId="3" applyFont="1" applyFill="1"/>
    <xf numFmtId="0" fontId="0" fillId="0" borderId="8" xfId="0" applyBorder="1"/>
    <xf numFmtId="0" fontId="0" fillId="0" borderId="8" xfId="0" applyBorder="1" applyAlignment="1">
      <alignment horizontal="left"/>
    </xf>
    <xf numFmtId="14" fontId="0" fillId="0" borderId="18" xfId="0" applyNumberFormat="1" applyBorder="1" applyAlignment="1">
      <alignment horizontal="left"/>
    </xf>
    <xf numFmtId="0" fontId="0" fillId="0" borderId="18" xfId="0" applyBorder="1" applyAlignment="1">
      <alignment horizontal="left"/>
    </xf>
    <xf numFmtId="0" fontId="0" fillId="0" borderId="18" xfId="0" applyBorder="1"/>
    <xf numFmtId="0" fontId="117" fillId="0" borderId="0" xfId="9" applyFont="1" applyAlignment="1">
      <alignment wrapText="1"/>
    </xf>
    <xf numFmtId="0" fontId="117" fillId="0" borderId="0" xfId="9" quotePrefix="1" applyFont="1" applyAlignment="1">
      <alignment horizontal="left" wrapText="1"/>
    </xf>
    <xf numFmtId="0" fontId="117" fillId="0" borderId="0" xfId="9" applyFont="1" applyAlignment="1">
      <alignment horizontal="left"/>
    </xf>
    <xf numFmtId="49" fontId="19" fillId="0" borderId="0" xfId="0" applyNumberFormat="1" applyFont="1"/>
    <xf numFmtId="0" fontId="116" fillId="58" borderId="0" xfId="68" applyFont="1" applyFill="1"/>
    <xf numFmtId="165" fontId="0" fillId="0" borderId="0" xfId="2" applyFont="1"/>
    <xf numFmtId="17" fontId="19" fillId="9" borderId="0" xfId="0" applyNumberFormat="1" applyFont="1" applyFill="1" applyAlignment="1">
      <alignment horizontal="left"/>
    </xf>
    <xf numFmtId="0" fontId="109" fillId="9" borderId="0" xfId="0" applyFont="1" applyFill="1" applyAlignment="1">
      <alignment horizontal="left" vertical="center" wrapText="1" readingOrder="1"/>
    </xf>
    <xf numFmtId="0" fontId="109" fillId="9" borderId="0" xfId="0" applyFont="1" applyFill="1" applyAlignment="1">
      <alignment vertical="center" wrapText="1" readingOrder="1"/>
    </xf>
    <xf numFmtId="0" fontId="108" fillId="9" borderId="0" xfId="0" applyFont="1" applyFill="1"/>
    <xf numFmtId="0" fontId="109" fillId="0" borderId="0" xfId="0" applyFont="1" applyAlignment="1">
      <alignment horizontal="left" vertical="center" wrapText="1" readingOrder="1"/>
    </xf>
    <xf numFmtId="0" fontId="109" fillId="0" borderId="0" xfId="0" applyFont="1" applyAlignment="1">
      <alignment vertical="center" wrapText="1" readingOrder="1"/>
    </xf>
    <xf numFmtId="0" fontId="108" fillId="0" borderId="0" xfId="0" applyFont="1"/>
    <xf numFmtId="177" fontId="109" fillId="0" borderId="0" xfId="0" applyNumberFormat="1" applyFont="1" applyAlignment="1">
      <alignment horizontal="right" vertical="center" wrapText="1" readingOrder="1"/>
    </xf>
    <xf numFmtId="177" fontId="109" fillId="0" borderId="0" xfId="0" applyNumberFormat="1" applyFont="1" applyAlignment="1">
      <alignment vertical="center" wrapText="1" readingOrder="1"/>
    </xf>
    <xf numFmtId="0" fontId="118" fillId="0" borderId="0" xfId="68" applyFont="1"/>
    <xf numFmtId="0" fontId="118" fillId="9" borderId="0" xfId="68" applyFont="1" applyFill="1"/>
    <xf numFmtId="0" fontId="119" fillId="51" borderId="0" xfId="68" applyFont="1" applyFill="1" applyAlignment="1">
      <alignment horizontal="left" vertical="center" wrapText="1" readingOrder="1"/>
    </xf>
    <xf numFmtId="0" fontId="119" fillId="51" borderId="0" xfId="68" applyFont="1" applyFill="1" applyAlignment="1">
      <alignment vertical="center" wrapText="1" readingOrder="1"/>
    </xf>
    <xf numFmtId="0" fontId="120" fillId="51" borderId="0" xfId="68" applyFont="1" applyFill="1"/>
    <xf numFmtId="0" fontId="121" fillId="0" borderId="0" xfId="9" applyFont="1"/>
    <xf numFmtId="0" fontId="122" fillId="9" borderId="0" xfId="68" applyFont="1" applyFill="1" applyAlignment="1">
      <alignment horizontal="left" vertical="center" wrapText="1" readingOrder="1"/>
    </xf>
    <xf numFmtId="0" fontId="122" fillId="9" borderId="0" xfId="68" applyFont="1" applyFill="1" applyAlignment="1">
      <alignment vertical="center" wrapText="1" readingOrder="1"/>
    </xf>
    <xf numFmtId="0" fontId="123" fillId="9" borderId="0" xfId="68" applyFont="1" applyFill="1"/>
    <xf numFmtId="4" fontId="0" fillId="0" borderId="0" xfId="0" applyNumberFormat="1" applyAlignment="1">
      <alignment wrapText="1"/>
    </xf>
    <xf numFmtId="14" fontId="0" fillId="9" borderId="18" xfId="0" applyNumberFormat="1" applyFill="1" applyBorder="1" applyAlignment="1">
      <alignment horizontal="left"/>
    </xf>
    <xf numFmtId="0" fontId="0" fillId="9" borderId="18" xfId="0" applyFill="1" applyBorder="1" applyAlignment="1">
      <alignment horizontal="left"/>
    </xf>
    <xf numFmtId="0" fontId="0" fillId="9" borderId="18" xfId="0" applyFill="1" applyBorder="1"/>
    <xf numFmtId="0" fontId="0" fillId="9" borderId="8" xfId="0" applyFill="1" applyBorder="1"/>
    <xf numFmtId="0" fontId="0" fillId="9" borderId="8" xfId="0" applyFill="1" applyBorder="1" applyAlignment="1">
      <alignment horizontal="left"/>
    </xf>
    <xf numFmtId="43" fontId="113" fillId="9" borderId="0" xfId="3" applyFont="1" applyFill="1" applyAlignment="1">
      <alignment horizontal="left" wrapText="1"/>
    </xf>
    <xf numFmtId="43" fontId="114" fillId="9" borderId="46" xfId="3" applyFont="1" applyFill="1" applyBorder="1" applyAlignment="1">
      <alignment horizontal="right" vertical="center"/>
    </xf>
    <xf numFmtId="43" fontId="0" fillId="9" borderId="0" xfId="3" applyFont="1" applyFill="1"/>
    <xf numFmtId="0" fontId="114" fillId="9" borderId="46" xfId="0" applyFont="1" applyFill="1" applyBorder="1" applyAlignment="1">
      <alignment horizontal="left" vertical="center"/>
    </xf>
    <xf numFmtId="14" fontId="114" fillId="9" borderId="46" xfId="0" applyNumberFormat="1" applyFont="1" applyFill="1" applyBorder="1" applyAlignment="1">
      <alignment horizontal="left" vertical="center"/>
    </xf>
    <xf numFmtId="0" fontId="114" fillId="9" borderId="46" xfId="0" applyFont="1" applyFill="1" applyBorder="1" applyAlignment="1">
      <alignment horizontal="right" vertical="center"/>
    </xf>
    <xf numFmtId="0" fontId="125" fillId="0" borderId="0" xfId="68" applyFont="1"/>
    <xf numFmtId="0" fontId="126" fillId="0" borderId="0" xfId="68" applyFont="1" applyAlignment="1">
      <alignment vertical="center" wrapText="1" readingOrder="1"/>
    </xf>
    <xf numFmtId="0" fontId="126" fillId="0" borderId="0" xfId="68" applyFont="1" applyAlignment="1">
      <alignment horizontal="right" vertical="center" wrapText="1" readingOrder="1"/>
    </xf>
    <xf numFmtId="0" fontId="124" fillId="0" borderId="0" xfId="68" applyFont="1" applyAlignment="1">
      <alignment wrapText="1" readingOrder="1"/>
    </xf>
    <xf numFmtId="0" fontId="126" fillId="0" borderId="0" xfId="68" applyFont="1" applyAlignment="1">
      <alignment vertical="top" wrapText="1" readingOrder="1"/>
    </xf>
    <xf numFmtId="0" fontId="126" fillId="0" borderId="0" xfId="68" applyFont="1" applyAlignment="1">
      <alignment horizontal="left" vertical="center" wrapText="1" readingOrder="1"/>
    </xf>
    <xf numFmtId="0" fontId="126" fillId="9" borderId="0" xfId="68" applyFont="1" applyFill="1" applyAlignment="1">
      <alignment horizontal="left" vertical="center" wrapText="1" readingOrder="1"/>
    </xf>
    <xf numFmtId="0" fontId="126" fillId="9" borderId="0" xfId="68" applyFont="1" applyFill="1" applyAlignment="1">
      <alignment vertical="center" wrapText="1" readingOrder="1"/>
    </xf>
    <xf numFmtId="0" fontId="125" fillId="9" borderId="0" xfId="68" applyFont="1" applyFill="1"/>
    <xf numFmtId="1" fontId="0" fillId="0" borderId="0" xfId="0" applyNumberFormat="1"/>
    <xf numFmtId="178" fontId="0" fillId="0" borderId="0" xfId="0" applyNumberFormat="1"/>
    <xf numFmtId="0" fontId="127" fillId="59" borderId="0" xfId="68" applyFont="1" applyFill="1" applyAlignment="1">
      <alignment horizontal="left" vertical="center" wrapText="1" readingOrder="1"/>
    </xf>
    <xf numFmtId="0" fontId="127" fillId="59" borderId="0" xfId="68" applyFont="1" applyFill="1" applyAlignment="1">
      <alignment vertical="center" wrapText="1" readingOrder="1"/>
    </xf>
    <xf numFmtId="0" fontId="128" fillId="59" borderId="0" xfId="68" applyFont="1" applyFill="1"/>
    <xf numFmtId="0" fontId="128" fillId="59" borderId="0" xfId="68" applyFont="1" applyFill="1" applyAlignment="1">
      <alignment vertical="center"/>
    </xf>
    <xf numFmtId="1" fontId="19" fillId="0" borderId="0" xfId="0" applyNumberFormat="1" applyFont="1"/>
    <xf numFmtId="178" fontId="19" fillId="0" borderId="0" xfId="0" applyNumberFormat="1" applyFont="1"/>
    <xf numFmtId="2" fontId="19" fillId="9" borderId="0" xfId="0" applyNumberFormat="1" applyFont="1" applyFill="1"/>
    <xf numFmtId="2" fontId="19" fillId="0" borderId="0" xfId="0" applyNumberFormat="1" applyFont="1"/>
    <xf numFmtId="0" fontId="114" fillId="9" borderId="0" xfId="0" applyFont="1" applyFill="1" applyAlignment="1">
      <alignment horizontal="left" vertical="center"/>
    </xf>
    <xf numFmtId="0" fontId="129" fillId="9" borderId="0" xfId="0" applyFont="1" applyFill="1" applyAlignment="1">
      <alignment horizontal="left" wrapText="1"/>
    </xf>
    <xf numFmtId="0" fontId="130" fillId="9" borderId="0" xfId="68" applyFont="1" applyFill="1"/>
    <xf numFmtId="165" fontId="19" fillId="0" borderId="0" xfId="2" applyFont="1" applyFill="1"/>
    <xf numFmtId="17" fontId="19" fillId="0" borderId="0" xfId="0" applyNumberFormat="1" applyFont="1" applyAlignment="1">
      <alignment horizontal="left"/>
    </xf>
    <xf numFmtId="0" fontId="131" fillId="9" borderId="0" xfId="68" applyFont="1" applyFill="1" applyAlignment="1">
      <alignment horizontal="left" vertical="center" wrapText="1" readingOrder="1"/>
    </xf>
    <xf numFmtId="0" fontId="131" fillId="9" borderId="0" xfId="68" applyFont="1" applyFill="1" applyAlignment="1">
      <alignment vertical="center" wrapText="1" readingOrder="1"/>
    </xf>
    <xf numFmtId="49" fontId="67" fillId="60" borderId="0" xfId="70" applyNumberFormat="1" applyFont="1" applyFill="1"/>
    <xf numFmtId="0" fontId="65" fillId="0" borderId="0" xfId="70"/>
    <xf numFmtId="1" fontId="65" fillId="0" borderId="0" xfId="70" applyNumberFormat="1"/>
    <xf numFmtId="49" fontId="65" fillId="0" borderId="0" xfId="70" applyNumberFormat="1"/>
    <xf numFmtId="14" fontId="65" fillId="0" borderId="0" xfId="70" applyNumberFormat="1"/>
    <xf numFmtId="4" fontId="65" fillId="0" borderId="0" xfId="70" applyNumberFormat="1"/>
    <xf numFmtId="2" fontId="67" fillId="60" borderId="0" xfId="70" applyNumberFormat="1" applyFont="1" applyFill="1"/>
    <xf numFmtId="2" fontId="65" fillId="0" borderId="0" xfId="70" applyNumberFormat="1"/>
    <xf numFmtId="2" fontId="65" fillId="9" borderId="0" xfId="70" applyNumberFormat="1" applyFill="1"/>
    <xf numFmtId="43" fontId="65" fillId="9" borderId="0" xfId="3" applyFont="1" applyFill="1"/>
    <xf numFmtId="164" fontId="30" fillId="54" borderId="51" xfId="0" applyNumberFormat="1" applyFont="1" applyFill="1" applyBorder="1" applyAlignment="1" applyProtection="1">
      <alignment vertical="center"/>
      <protection locked="0"/>
    </xf>
    <xf numFmtId="0" fontId="30" fillId="54" borderId="51" xfId="0" applyFont="1" applyFill="1" applyBorder="1" applyAlignment="1" applyProtection="1">
      <alignment vertical="center"/>
      <protection locked="0"/>
    </xf>
    <xf numFmtId="164" fontId="30" fillId="54" borderId="42" xfId="0" applyNumberFormat="1" applyFont="1" applyFill="1" applyBorder="1" applyAlignment="1" applyProtection="1">
      <alignment vertical="center"/>
      <protection locked="0"/>
    </xf>
    <xf numFmtId="0" fontId="30" fillId="54" borderId="42" xfId="0" applyFont="1" applyFill="1" applyBorder="1" applyAlignment="1" applyProtection="1">
      <alignment vertical="center"/>
      <protection locked="0"/>
    </xf>
    <xf numFmtId="0" fontId="30" fillId="54" borderId="51" xfId="0" applyFont="1" applyFill="1" applyBorder="1" applyAlignment="1" applyProtection="1">
      <alignment vertical="center" wrapText="1"/>
      <protection locked="0"/>
    </xf>
    <xf numFmtId="179" fontId="0" fillId="0" borderId="0" xfId="0" applyNumberFormat="1" applyAlignment="1">
      <alignment vertical="center"/>
    </xf>
    <xf numFmtId="0" fontId="111" fillId="55" borderId="0" xfId="68" applyFont="1" applyFill="1" applyAlignment="1">
      <alignment vertical="top" wrapText="1" readingOrder="1"/>
    </xf>
    <xf numFmtId="0" fontId="109" fillId="57" borderId="0" xfId="68" applyFont="1" applyFill="1" applyAlignment="1">
      <alignment horizontal="left" vertical="center" wrapText="1" readingOrder="1"/>
    </xf>
    <xf numFmtId="0" fontId="109" fillId="57" borderId="0" xfId="68" applyFont="1" applyFill="1" applyAlignment="1">
      <alignment vertical="center" wrapText="1" readingOrder="1"/>
    </xf>
    <xf numFmtId="0" fontId="108" fillId="57" borderId="0" xfId="68" applyFont="1" applyFill="1"/>
    <xf numFmtId="0" fontId="109" fillId="58" borderId="0" xfId="68" applyFont="1" applyFill="1" applyAlignment="1">
      <alignment horizontal="left" vertical="center" wrapText="1" readingOrder="1"/>
    </xf>
    <xf numFmtId="0" fontId="109" fillId="58" borderId="0" xfId="68" applyFont="1" applyFill="1" applyAlignment="1">
      <alignment vertical="center" wrapText="1" readingOrder="1"/>
    </xf>
    <xf numFmtId="0" fontId="108" fillId="58" borderId="0" xfId="68" applyFont="1" applyFill="1"/>
    <xf numFmtId="14" fontId="108" fillId="9" borderId="0" xfId="68" applyNumberFormat="1" applyFont="1" applyFill="1"/>
    <xf numFmtId="0" fontId="30" fillId="54" borderId="47" xfId="0" applyFont="1" applyFill="1" applyBorder="1" applyAlignment="1" applyProtection="1">
      <alignment vertical="center" wrapText="1"/>
      <protection locked="0"/>
    </xf>
    <xf numFmtId="164" fontId="30" fillId="54" borderId="51" xfId="0" applyNumberFormat="1" applyFont="1" applyFill="1" applyBorder="1" applyAlignment="1" applyProtection="1">
      <alignment vertical="center" wrapText="1"/>
      <protection locked="0"/>
    </xf>
    <xf numFmtId="164" fontId="30" fillId="54" borderId="10" xfId="0" applyNumberFormat="1" applyFont="1" applyFill="1" applyBorder="1" applyAlignment="1" applyProtection="1">
      <alignment vertical="center"/>
      <protection locked="0"/>
    </xf>
    <xf numFmtId="0" fontId="30" fillId="54" borderId="10" xfId="0" applyFont="1" applyFill="1" applyBorder="1" applyAlignment="1" applyProtection="1">
      <alignment vertical="center" wrapText="1"/>
      <protection locked="0"/>
    </xf>
    <xf numFmtId="0" fontId="30" fillId="54" borderId="48" xfId="0" applyFont="1" applyFill="1" applyBorder="1" applyAlignment="1" applyProtection="1">
      <alignment vertical="center" wrapText="1"/>
      <protection locked="0"/>
    </xf>
    <xf numFmtId="164" fontId="30" fillId="54" borderId="10" xfId="0" applyNumberFormat="1" applyFont="1" applyFill="1" applyBorder="1" applyAlignment="1" applyProtection="1">
      <alignment vertical="center" wrapText="1"/>
      <protection locked="0"/>
    </xf>
    <xf numFmtId="0" fontId="30" fillId="54" borderId="49" xfId="0" applyFont="1" applyFill="1" applyBorder="1" applyAlignment="1" applyProtection="1">
      <alignment vertical="center" wrapText="1"/>
      <protection locked="0"/>
    </xf>
    <xf numFmtId="164" fontId="30" fillId="54" borderId="49" xfId="0" applyNumberFormat="1" applyFont="1" applyFill="1" applyBorder="1" applyAlignment="1" applyProtection="1">
      <alignment vertical="center" wrapText="1"/>
      <protection locked="0"/>
    </xf>
    <xf numFmtId="164" fontId="30" fillId="54" borderId="48" xfId="0" applyNumberFormat="1" applyFont="1" applyFill="1" applyBorder="1" applyAlignment="1" applyProtection="1">
      <alignment vertical="center"/>
      <protection locked="0"/>
    </xf>
    <xf numFmtId="164" fontId="30" fillId="54" borderId="52" xfId="0" applyNumberFormat="1" applyFont="1" applyFill="1" applyBorder="1" applyAlignment="1" applyProtection="1">
      <alignment vertical="center"/>
      <protection locked="0"/>
    </xf>
    <xf numFmtId="0" fontId="30" fillId="54" borderId="54" xfId="0" applyFont="1" applyFill="1" applyBorder="1" applyAlignment="1" applyProtection="1">
      <alignment vertical="center" wrapText="1"/>
      <protection locked="0"/>
    </xf>
    <xf numFmtId="0" fontId="30" fillId="54" borderId="55" xfId="0" applyFont="1" applyFill="1" applyBorder="1" applyAlignment="1" applyProtection="1">
      <alignment horizontal="center" vertical="center" wrapText="1"/>
      <protection locked="0"/>
    </xf>
    <xf numFmtId="179" fontId="0" fillId="0" borderId="0" xfId="0" applyNumberFormat="1" applyAlignment="1" applyProtection="1">
      <alignment wrapText="1"/>
      <protection locked="0"/>
    </xf>
    <xf numFmtId="164" fontId="30" fillId="54" borderId="49" xfId="0" applyNumberFormat="1" applyFont="1" applyFill="1" applyBorder="1" applyAlignment="1" applyProtection="1">
      <alignment vertical="center"/>
      <protection locked="0"/>
    </xf>
    <xf numFmtId="164" fontId="30" fillId="54" borderId="59" xfId="0" applyNumberFormat="1" applyFont="1" applyFill="1" applyBorder="1" applyAlignment="1" applyProtection="1">
      <alignment vertical="center"/>
      <protection locked="0"/>
    </xf>
    <xf numFmtId="0" fontId="30" fillId="54" borderId="10" xfId="0" applyFont="1" applyFill="1" applyBorder="1" applyAlignment="1" applyProtection="1">
      <alignment vertical="center"/>
      <protection locked="0"/>
    </xf>
    <xf numFmtId="164" fontId="30" fillId="54" borderId="60" xfId="0" applyNumberFormat="1" applyFont="1" applyFill="1" applyBorder="1" applyAlignment="1" applyProtection="1">
      <alignment vertical="center" wrapText="1"/>
      <protection locked="0"/>
    </xf>
    <xf numFmtId="0" fontId="0" fillId="54" borderId="60" xfId="0" applyFill="1" applyBorder="1" applyAlignment="1" applyProtection="1">
      <alignment vertical="center" wrapText="1"/>
      <protection locked="0"/>
    </xf>
    <xf numFmtId="0" fontId="30" fillId="54" borderId="49" xfId="0" applyFont="1" applyFill="1" applyBorder="1" applyAlignment="1" applyProtection="1">
      <alignment vertical="center"/>
      <protection locked="0"/>
    </xf>
    <xf numFmtId="0" fontId="30" fillId="54" borderId="50" xfId="0" applyFont="1" applyFill="1" applyBorder="1" applyAlignment="1" applyProtection="1">
      <alignment vertical="center" wrapText="1"/>
      <protection locked="0"/>
    </xf>
    <xf numFmtId="0" fontId="16" fillId="0" borderId="18" xfId="0" applyFont="1" applyBorder="1" applyAlignment="1">
      <alignment vertical="center" wrapText="1"/>
    </xf>
    <xf numFmtId="0" fontId="3" fillId="0" borderId="0" xfId="9" applyFont="1"/>
    <xf numFmtId="14" fontId="3" fillId="0" borderId="0" xfId="9" applyNumberFormat="1" applyFont="1" applyAlignment="1">
      <alignment horizontal="left"/>
    </xf>
    <xf numFmtId="0" fontId="3" fillId="0" borderId="0" xfId="9" applyFont="1" applyAlignment="1">
      <alignment wrapText="1"/>
    </xf>
    <xf numFmtId="0" fontId="3" fillId="0" borderId="0" xfId="9" applyFont="1" applyAlignment="1">
      <alignment vertical="center"/>
    </xf>
    <xf numFmtId="0" fontId="3" fillId="0" borderId="0" xfId="9" applyFont="1" applyAlignment="1">
      <alignment vertical="center" wrapText="1"/>
    </xf>
    <xf numFmtId="4" fontId="3" fillId="0" borderId="0" xfId="9" applyNumberFormat="1" applyFont="1" applyAlignment="1">
      <alignment horizontal="center"/>
    </xf>
    <xf numFmtId="14" fontId="3" fillId="0" borderId="0" xfId="9" applyNumberFormat="1" applyFont="1"/>
    <xf numFmtId="0" fontId="3" fillId="9" borderId="0" xfId="9" applyFont="1" applyFill="1"/>
    <xf numFmtId="0" fontId="3" fillId="0" borderId="0" xfId="9" quotePrefix="1" applyFont="1" applyAlignment="1">
      <alignment horizontal="left" wrapText="1"/>
    </xf>
    <xf numFmtId="0" fontId="3" fillId="0" borderId="0" xfId="9" quotePrefix="1" applyFont="1" applyAlignment="1">
      <alignment horizontal="left" vertical="center" wrapText="1"/>
    </xf>
    <xf numFmtId="0" fontId="3" fillId="0" borderId="0" xfId="9" quotePrefix="1" applyFont="1"/>
    <xf numFmtId="0" fontId="3" fillId="9" borderId="0" xfId="9" applyFont="1" applyFill="1" applyAlignment="1">
      <alignment wrapText="1"/>
    </xf>
    <xf numFmtId="0" fontId="3" fillId="9" borderId="0" xfId="9" quotePrefix="1" applyFont="1" applyFill="1" applyAlignment="1">
      <alignment horizontal="left" wrapText="1"/>
    </xf>
    <xf numFmtId="0" fontId="30" fillId="54" borderId="50" xfId="0" applyFont="1" applyFill="1" applyBorder="1" applyAlignment="1" applyProtection="1">
      <alignment horizontal="center" vertical="center" wrapText="1"/>
      <protection locked="0"/>
    </xf>
    <xf numFmtId="0" fontId="30" fillId="54" borderId="62" xfId="0" applyFont="1" applyFill="1" applyBorder="1" applyAlignment="1" applyProtection="1">
      <alignment vertical="center" wrapText="1"/>
      <protection locked="0"/>
    </xf>
    <xf numFmtId="0" fontId="30" fillId="54" borderId="59" xfId="0" applyFont="1" applyFill="1" applyBorder="1" applyAlignment="1" applyProtection="1">
      <alignment vertical="center" wrapText="1"/>
      <protection locked="0"/>
    </xf>
    <xf numFmtId="164" fontId="30" fillId="54" borderId="62" xfId="0" applyNumberFormat="1" applyFont="1" applyFill="1" applyBorder="1" applyAlignment="1" applyProtection="1">
      <alignment vertical="center"/>
      <protection locked="0"/>
    </xf>
    <xf numFmtId="0" fontId="30" fillId="54" borderId="63" xfId="0" applyFont="1" applyFill="1" applyBorder="1" applyAlignment="1" applyProtection="1">
      <alignment vertical="center" wrapText="1"/>
      <protection locked="0"/>
    </xf>
    <xf numFmtId="164" fontId="30" fillId="54" borderId="64" xfId="0" applyNumberFormat="1" applyFont="1" applyFill="1" applyBorder="1" applyAlignment="1" applyProtection="1">
      <alignment vertical="center"/>
      <protection locked="0"/>
    </xf>
    <xf numFmtId="0" fontId="30" fillId="54" borderId="65" xfId="0" applyFont="1" applyFill="1" applyBorder="1" applyAlignment="1" applyProtection="1">
      <alignment vertical="center" wrapText="1"/>
      <protection locked="0"/>
    </xf>
    <xf numFmtId="164" fontId="30" fillId="54" borderId="66" xfId="0" applyNumberFormat="1" applyFont="1" applyFill="1" applyBorder="1" applyAlignment="1" applyProtection="1">
      <alignment vertical="center"/>
      <protection locked="0"/>
    </xf>
    <xf numFmtId="164" fontId="30" fillId="54" borderId="50" xfId="0" applyNumberFormat="1" applyFont="1" applyFill="1" applyBorder="1" applyAlignment="1" applyProtection="1">
      <alignment vertical="center"/>
      <protection locked="0"/>
    </xf>
    <xf numFmtId="0" fontId="30" fillId="54" borderId="67" xfId="0" applyFont="1" applyFill="1" applyBorder="1" applyAlignment="1" applyProtection="1">
      <alignment vertical="center" wrapText="1"/>
      <protection locked="0"/>
    </xf>
    <xf numFmtId="0" fontId="0" fillId="0" borderId="61" xfId="0" applyBorder="1" applyProtection="1">
      <protection locked="0"/>
    </xf>
    <xf numFmtId="0" fontId="33" fillId="2" borderId="71" xfId="0" applyFont="1" applyFill="1" applyBorder="1" applyAlignment="1">
      <alignment vertical="center" wrapText="1" readingOrder="1"/>
    </xf>
    <xf numFmtId="0" fontId="35" fillId="3" borderId="71" xfId="0" applyFont="1" applyFill="1" applyBorder="1" applyAlignment="1">
      <alignment vertical="center" wrapText="1"/>
    </xf>
    <xf numFmtId="0" fontId="35" fillId="3" borderId="74" xfId="0" applyFont="1" applyFill="1" applyBorder="1" applyAlignment="1">
      <alignment vertical="center" wrapText="1"/>
    </xf>
    <xf numFmtId="167" fontId="30" fillId="54" borderId="76" xfId="0" applyNumberFormat="1" applyFont="1" applyFill="1" applyBorder="1" applyAlignment="1" applyProtection="1">
      <alignment horizontal="center" vertical="center" wrapText="1"/>
      <protection locked="0"/>
    </xf>
    <xf numFmtId="0" fontId="30" fillId="54" borderId="77" xfId="0" applyFont="1" applyFill="1" applyBorder="1" applyAlignment="1" applyProtection="1">
      <alignment vertical="center" wrapText="1"/>
      <protection locked="0"/>
    </xf>
    <xf numFmtId="167" fontId="30" fillId="54" borderId="78" xfId="0" applyNumberFormat="1" applyFont="1" applyFill="1" applyBorder="1" applyAlignment="1" applyProtection="1">
      <alignment horizontal="center" vertical="center" wrapText="1"/>
      <protection locked="0"/>
    </xf>
    <xf numFmtId="0" fontId="30" fillId="54" borderId="79" xfId="0" applyFont="1" applyFill="1" applyBorder="1" applyAlignment="1" applyProtection="1">
      <alignment vertical="center" wrapText="1"/>
      <protection locked="0"/>
    </xf>
    <xf numFmtId="167" fontId="30" fillId="54" borderId="80" xfId="0" applyNumberFormat="1" applyFont="1" applyFill="1" applyBorder="1" applyAlignment="1" applyProtection="1">
      <alignment horizontal="center" vertical="center"/>
      <protection locked="0"/>
    </xf>
    <xf numFmtId="167" fontId="30" fillId="54" borderId="82" xfId="0" applyNumberFormat="1" applyFont="1" applyFill="1" applyBorder="1" applyAlignment="1" applyProtection="1">
      <alignment horizontal="center" vertical="center" wrapText="1"/>
      <protection locked="0"/>
    </xf>
    <xf numFmtId="0" fontId="30" fillId="54" borderId="83" xfId="0" applyFont="1" applyFill="1" applyBorder="1" applyAlignment="1" applyProtection="1">
      <alignment vertical="center" wrapText="1"/>
      <protection locked="0"/>
    </xf>
    <xf numFmtId="0" fontId="30" fillId="54" borderId="84" xfId="0" applyFont="1" applyFill="1" applyBorder="1" applyAlignment="1" applyProtection="1">
      <alignment vertical="center" wrapText="1"/>
      <protection locked="0"/>
    </xf>
    <xf numFmtId="167" fontId="30" fillId="54" borderId="85" xfId="0" applyNumberFormat="1" applyFont="1" applyFill="1" applyBorder="1" applyAlignment="1" applyProtection="1">
      <alignment horizontal="center" vertical="center"/>
      <protection locked="0"/>
    </xf>
    <xf numFmtId="167" fontId="30" fillId="54" borderId="81" xfId="0" applyNumberFormat="1" applyFont="1" applyFill="1" applyBorder="1" applyAlignment="1" applyProtection="1">
      <alignment horizontal="center" vertical="center"/>
      <protection locked="0"/>
    </xf>
    <xf numFmtId="0" fontId="30" fillId="54" borderId="86" xfId="0" applyFont="1" applyFill="1" applyBorder="1" applyAlignment="1" applyProtection="1">
      <alignment vertical="center" wrapText="1"/>
      <protection locked="0"/>
    </xf>
    <xf numFmtId="0" fontId="115" fillId="0" borderId="71" xfId="0" applyFont="1" applyBorder="1" applyAlignment="1">
      <alignment vertical="center"/>
    </xf>
    <xf numFmtId="0" fontId="0" fillId="0" borderId="74" xfId="0" applyBorder="1" applyAlignment="1">
      <alignment wrapText="1"/>
    </xf>
    <xf numFmtId="0" fontId="0" fillId="0" borderId="71" xfId="0" applyBorder="1" applyAlignment="1">
      <alignment wrapText="1"/>
    </xf>
    <xf numFmtId="167" fontId="30" fillId="54" borderId="89" xfId="0" applyNumberFormat="1" applyFont="1" applyFill="1" applyBorder="1" applyAlignment="1" applyProtection="1">
      <alignment horizontal="center" vertical="center"/>
      <protection locked="0"/>
    </xf>
    <xf numFmtId="0" fontId="30" fillId="54" borderId="90" xfId="0" applyFont="1" applyFill="1" applyBorder="1" applyAlignment="1" applyProtection="1">
      <alignment vertical="center"/>
      <protection locked="0"/>
    </xf>
    <xf numFmtId="164" fontId="30" fillId="54" borderId="91" xfId="0" applyNumberFormat="1" applyFont="1" applyFill="1" applyBorder="1" applyAlignment="1" applyProtection="1">
      <alignment vertical="center"/>
      <protection locked="0"/>
    </xf>
    <xf numFmtId="0" fontId="30" fillId="54" borderId="91" xfId="0" applyFont="1" applyFill="1" applyBorder="1" applyAlignment="1" applyProtection="1">
      <alignment vertical="center"/>
      <protection locked="0"/>
    </xf>
    <xf numFmtId="0" fontId="35" fillId="3" borderId="92" xfId="0" applyFont="1" applyFill="1" applyBorder="1" applyAlignment="1">
      <alignment vertical="center" wrapText="1"/>
    </xf>
    <xf numFmtId="0" fontId="35" fillId="3" borderId="93" xfId="0" applyFont="1" applyFill="1" applyBorder="1" applyAlignment="1">
      <alignment vertical="center" wrapText="1"/>
    </xf>
    <xf numFmtId="0" fontId="35" fillId="3" borderId="94" xfId="0" applyFont="1" applyFill="1" applyBorder="1" applyAlignment="1">
      <alignment vertical="center" wrapText="1"/>
    </xf>
    <xf numFmtId="164" fontId="30" fillId="54" borderId="55" xfId="0" applyNumberFormat="1" applyFont="1" applyFill="1" applyBorder="1" applyAlignment="1" applyProtection="1">
      <alignment vertical="center"/>
      <protection locked="0"/>
    </xf>
    <xf numFmtId="0" fontId="30" fillId="54" borderId="55" xfId="0" applyFont="1" applyFill="1" applyBorder="1" applyAlignment="1" applyProtection="1">
      <alignment vertical="center"/>
      <protection locked="0"/>
    </xf>
    <xf numFmtId="164" fontId="35" fillId="3" borderId="96" xfId="0" applyNumberFormat="1" applyFont="1" applyFill="1" applyBorder="1" applyAlignment="1">
      <alignment vertical="center"/>
    </xf>
    <xf numFmtId="0" fontId="50" fillId="3" borderId="96" xfId="0" applyFont="1" applyFill="1" applyBorder="1" applyAlignment="1">
      <alignment horizontal="center" vertical="center" wrapText="1"/>
    </xf>
    <xf numFmtId="164" fontId="30" fillId="54" borderId="55" xfId="0" applyNumberFormat="1" applyFont="1" applyFill="1" applyBorder="1" applyAlignment="1" applyProtection="1">
      <alignment vertical="center" wrapText="1"/>
      <protection locked="0"/>
    </xf>
    <xf numFmtId="0" fontId="30" fillId="54" borderId="55" xfId="0" applyFont="1" applyFill="1" applyBorder="1" applyAlignment="1" applyProtection="1">
      <alignment vertical="center" wrapText="1"/>
      <protection locked="0"/>
    </xf>
    <xf numFmtId="0" fontId="35" fillId="3" borderId="95" xfId="0" applyFont="1" applyFill="1" applyBorder="1" applyAlignment="1">
      <alignment vertical="center" wrapText="1"/>
    </xf>
    <xf numFmtId="164" fontId="30" fillId="54" borderId="60" xfId="0" applyNumberFormat="1" applyFont="1" applyFill="1" applyBorder="1" applyAlignment="1" applyProtection="1">
      <alignment vertical="center"/>
      <protection locked="0"/>
    </xf>
    <xf numFmtId="0" fontId="0" fillId="54" borderId="60" xfId="0" applyFill="1" applyBorder="1" applyAlignment="1" applyProtection="1">
      <alignment horizontal="left" vertical="center" wrapText="1"/>
      <protection locked="0"/>
    </xf>
    <xf numFmtId="0" fontId="33" fillId="2" borderId="75" xfId="0" applyFont="1" applyFill="1" applyBorder="1" applyAlignment="1">
      <alignment vertical="center" wrapText="1" readingOrder="1"/>
    </xf>
    <xf numFmtId="167" fontId="30" fillId="54" borderId="99" xfId="0" applyNumberFormat="1" applyFont="1" applyFill="1" applyBorder="1" applyAlignment="1" applyProtection="1">
      <alignment horizontal="center" vertical="center"/>
      <protection locked="0"/>
    </xf>
    <xf numFmtId="0" fontId="0" fillId="54" borderId="100" xfId="0" applyFill="1" applyBorder="1" applyAlignment="1" applyProtection="1">
      <alignment vertical="center" wrapText="1"/>
      <protection locked="0"/>
    </xf>
    <xf numFmtId="167" fontId="30" fillId="54" borderId="99" xfId="0" applyNumberFormat="1" applyFont="1" applyFill="1" applyBorder="1" applyAlignment="1" applyProtection="1">
      <alignment vertical="center"/>
      <protection locked="0"/>
    </xf>
    <xf numFmtId="0" fontId="34" fillId="3" borderId="92" xfId="0" applyFont="1" applyFill="1" applyBorder="1" applyAlignment="1">
      <alignment vertical="center" wrapText="1" readingOrder="1"/>
    </xf>
    <xf numFmtId="164" fontId="34" fillId="3" borderId="93" xfId="0" applyNumberFormat="1" applyFont="1" applyFill="1" applyBorder="1" applyAlignment="1">
      <alignment vertical="center" wrapText="1" readingOrder="1"/>
    </xf>
    <xf numFmtId="0" fontId="50" fillId="3" borderId="93" xfId="0" applyFont="1" applyFill="1" applyBorder="1" applyAlignment="1">
      <alignment horizontal="center" vertical="center" readingOrder="1"/>
    </xf>
    <xf numFmtId="0" fontId="34" fillId="3" borderId="92" xfId="0" applyFont="1" applyFill="1" applyBorder="1" applyAlignment="1">
      <alignment vertical="center" readingOrder="1"/>
    </xf>
    <xf numFmtId="0" fontId="34" fillId="3" borderId="71" xfId="0" applyFont="1" applyFill="1" applyBorder="1" applyAlignment="1">
      <alignment horizontal="left" vertical="center" readingOrder="1"/>
    </xf>
    <xf numFmtId="0" fontId="48" fillId="0" borderId="71" xfId="0" applyFont="1" applyBorder="1"/>
    <xf numFmtId="0" fontId="34" fillId="0" borderId="74" xfId="0" applyFont="1" applyBorder="1" applyAlignment="1">
      <alignment horizontal="center" vertical="center" wrapText="1"/>
    </xf>
    <xf numFmtId="0" fontId="48" fillId="0" borderId="92" xfId="0" applyFont="1" applyBorder="1"/>
    <xf numFmtId="166" fontId="34" fillId="8" borderId="93" xfId="0" applyNumberFormat="1" applyFont="1" applyFill="1" applyBorder="1" applyAlignment="1">
      <alignment horizontal="left" vertical="center" wrapText="1"/>
    </xf>
    <xf numFmtId="1" fontId="34" fillId="8" borderId="93" xfId="0" applyNumberFormat="1" applyFont="1" applyFill="1" applyBorder="1" applyAlignment="1">
      <alignment horizontal="center" vertical="center" wrapText="1"/>
    </xf>
    <xf numFmtId="0" fontId="41" fillId="0" borderId="93" xfId="0" applyFont="1" applyBorder="1"/>
    <xf numFmtId="166" fontId="40" fillId="0" borderId="93" xfId="0" applyNumberFormat="1" applyFont="1" applyBorder="1" applyAlignment="1">
      <alignment vertical="center" wrapText="1"/>
    </xf>
    <xf numFmtId="0" fontId="34" fillId="0" borderId="94" xfId="0" applyFont="1" applyBorder="1" applyAlignment="1">
      <alignment horizontal="center" vertical="center" wrapText="1"/>
    </xf>
    <xf numFmtId="14" fontId="30" fillId="54" borderId="101" xfId="0" applyNumberFormat="1" applyFont="1" applyFill="1" applyBorder="1" applyAlignment="1">
      <alignment horizontal="center" vertical="center" wrapText="1"/>
    </xf>
    <xf numFmtId="0" fontId="30" fillId="54" borderId="102" xfId="0" applyFont="1" applyFill="1" applyBorder="1" applyAlignment="1">
      <alignment vertical="center" wrapText="1"/>
    </xf>
    <xf numFmtId="0" fontId="30" fillId="54" borderId="102" xfId="0" applyFont="1" applyFill="1" applyBorder="1" applyAlignment="1">
      <alignment horizontal="center" vertical="center" wrapText="1"/>
    </xf>
    <xf numFmtId="0" fontId="30" fillId="54" borderId="103" xfId="0" applyFont="1" applyFill="1" applyBorder="1" applyAlignment="1">
      <alignment vertical="center" wrapText="1"/>
    </xf>
    <xf numFmtId="0" fontId="0" fillId="0" borderId="104" xfId="0" applyBorder="1" applyAlignment="1">
      <alignment vertical="center"/>
    </xf>
    <xf numFmtId="0" fontId="35" fillId="3" borderId="114" xfId="0" applyFont="1" applyFill="1" applyBorder="1" applyAlignment="1">
      <alignment vertical="center" wrapText="1"/>
    </xf>
    <xf numFmtId="0" fontId="35" fillId="3" borderId="115" xfId="0" applyFont="1" applyFill="1" applyBorder="1" applyAlignment="1">
      <alignment vertical="center" wrapText="1"/>
    </xf>
    <xf numFmtId="0" fontId="30" fillId="54" borderId="117" xfId="0" applyFont="1" applyFill="1" applyBorder="1" applyAlignment="1" applyProtection="1">
      <alignment vertical="center" wrapText="1"/>
      <protection locked="0"/>
    </xf>
    <xf numFmtId="167" fontId="30" fillId="54" borderId="118" xfId="0" applyNumberFormat="1" applyFont="1" applyFill="1" applyBorder="1" applyAlignment="1" applyProtection="1">
      <alignment horizontal="center" vertical="center"/>
      <protection locked="0"/>
    </xf>
    <xf numFmtId="0" fontId="30" fillId="54" borderId="119" xfId="0" applyFont="1" applyFill="1" applyBorder="1" applyAlignment="1" applyProtection="1">
      <alignment vertical="center" wrapText="1"/>
      <protection locked="0"/>
    </xf>
    <xf numFmtId="0" fontId="30" fillId="54" borderId="121" xfId="0" applyFont="1" applyFill="1" applyBorder="1" applyAlignment="1" applyProtection="1">
      <alignment vertical="center" wrapText="1"/>
      <protection locked="0"/>
    </xf>
    <xf numFmtId="0" fontId="35" fillId="3" borderId="122" xfId="0" applyFont="1" applyFill="1" applyBorder="1" applyAlignment="1">
      <alignment vertical="center" wrapText="1"/>
    </xf>
    <xf numFmtId="0" fontId="0" fillId="0" borderId="124" xfId="0" applyBorder="1" applyAlignment="1">
      <alignment wrapText="1"/>
    </xf>
    <xf numFmtId="0" fontId="0" fillId="0" borderId="125" xfId="0" applyBorder="1" applyAlignment="1">
      <alignment wrapText="1"/>
    </xf>
    <xf numFmtId="0" fontId="34" fillId="3" borderId="126" xfId="0" applyFont="1" applyFill="1" applyBorder="1" applyAlignment="1">
      <alignment vertical="center" wrapText="1" readingOrder="1"/>
    </xf>
    <xf numFmtId="164" fontId="34" fillId="3" borderId="127" xfId="0" applyNumberFormat="1" applyFont="1" applyFill="1" applyBorder="1" applyAlignment="1">
      <alignment vertical="center"/>
    </xf>
    <xf numFmtId="0" fontId="31" fillId="3" borderId="127" xfId="0" applyFont="1" applyFill="1" applyBorder="1"/>
    <xf numFmtId="0" fontId="31" fillId="3" borderId="128" xfId="0" applyFont="1" applyFill="1" applyBorder="1"/>
    <xf numFmtId="0" fontId="33" fillId="2" borderId="124" xfId="0" applyFont="1" applyFill="1" applyBorder="1" applyAlignment="1">
      <alignment vertical="center" wrapText="1" readingOrder="1"/>
    </xf>
    <xf numFmtId="0" fontId="33" fillId="2" borderId="114" xfId="0" applyFont="1" applyFill="1" applyBorder="1" applyAlignment="1">
      <alignment vertical="center" wrapText="1" readingOrder="1"/>
    </xf>
    <xf numFmtId="0" fontId="33" fillId="3" borderId="124" xfId="0" applyFont="1" applyFill="1" applyBorder="1" applyAlignment="1">
      <alignment vertical="center" wrapText="1" readingOrder="1"/>
    </xf>
    <xf numFmtId="165" fontId="33" fillId="7" borderId="125" xfId="2" applyFont="1" applyFill="1" applyBorder="1" applyAlignment="1" applyProtection="1">
      <alignment horizontal="center" vertical="center" wrapText="1" readingOrder="1"/>
    </xf>
    <xf numFmtId="0" fontId="36" fillId="0" borderId="131" xfId="0" applyFont="1" applyBorder="1" applyAlignment="1">
      <alignment vertical="center" wrapText="1" readingOrder="1"/>
    </xf>
    <xf numFmtId="1" fontId="36" fillId="0" borderId="119" xfId="0" applyNumberFormat="1" applyFont="1" applyBorder="1" applyAlignment="1">
      <alignment horizontal="center" vertical="center" wrapText="1"/>
    </xf>
    <xf numFmtId="0" fontId="36" fillId="0" borderId="124" xfId="0" applyFont="1" applyBorder="1" applyAlignment="1">
      <alignment vertical="center" wrapText="1" readingOrder="1"/>
    </xf>
    <xf numFmtId="1" fontId="32" fillId="0" borderId="125" xfId="0" applyNumberFormat="1" applyFont="1" applyBorder="1" applyAlignment="1">
      <alignment horizontal="center" vertical="center" wrapText="1"/>
    </xf>
    <xf numFmtId="0" fontId="46" fillId="0" borderId="131" xfId="0" applyFont="1" applyBorder="1" applyAlignment="1">
      <alignment horizontal="left" vertical="center" wrapText="1" indent="2" readingOrder="1"/>
    </xf>
    <xf numFmtId="0" fontId="30" fillId="0" borderId="125" xfId="0" applyFont="1" applyBorder="1" applyAlignment="1">
      <alignment vertical="center" wrapText="1"/>
    </xf>
    <xf numFmtId="0" fontId="46" fillId="0" borderId="132" xfId="0" applyFont="1" applyBorder="1" applyAlignment="1">
      <alignment horizontal="left" vertical="center" wrapText="1" indent="2" readingOrder="1"/>
    </xf>
    <xf numFmtId="164" fontId="46" fillId="0" borderId="52" xfId="2" applyNumberFormat="1" applyFont="1" applyFill="1" applyBorder="1" applyAlignment="1" applyProtection="1">
      <alignment vertical="center" wrapText="1" readingOrder="1"/>
    </xf>
    <xf numFmtId="0" fontId="47" fillId="0" borderId="133" xfId="2" applyNumberFormat="1" applyFont="1" applyFill="1" applyBorder="1" applyAlignment="1" applyProtection="1">
      <alignment horizontal="center" vertical="center" wrapText="1" readingOrder="1"/>
    </xf>
    <xf numFmtId="0" fontId="32" fillId="0" borderId="61" xfId="0" applyFont="1" applyBorder="1" applyAlignment="1">
      <alignment vertical="center" wrapText="1" readingOrder="1"/>
    </xf>
    <xf numFmtId="0" fontId="30" fillId="0" borderId="134" xfId="0" applyFont="1" applyBorder="1" applyAlignment="1">
      <alignment vertical="center" wrapText="1"/>
    </xf>
    <xf numFmtId="0" fontId="30" fillId="54" borderId="136" xfId="0" applyFont="1" applyFill="1" applyBorder="1" applyAlignment="1" applyProtection="1">
      <alignment vertical="center" wrapText="1"/>
      <protection locked="0"/>
    </xf>
    <xf numFmtId="0" fontId="30" fillId="54" borderId="138" xfId="0" applyFont="1" applyFill="1" applyBorder="1" applyAlignment="1" applyProtection="1">
      <alignment vertical="center" wrapText="1"/>
      <protection locked="0"/>
    </xf>
    <xf numFmtId="0" fontId="30" fillId="54" borderId="139" xfId="0" applyFont="1" applyFill="1" applyBorder="1" applyAlignment="1" applyProtection="1">
      <alignment vertical="center" wrapText="1"/>
      <protection locked="0"/>
    </xf>
    <xf numFmtId="0" fontId="30" fillId="54" borderId="140" xfId="0" applyFont="1" applyFill="1" applyBorder="1" applyAlignment="1" applyProtection="1">
      <alignment vertical="center" wrapText="1"/>
      <protection locked="0"/>
    </xf>
    <xf numFmtId="0" fontId="30" fillId="54" borderId="141" xfId="0" applyFont="1" applyFill="1" applyBorder="1" applyAlignment="1" applyProtection="1">
      <alignment vertical="center"/>
      <protection locked="0"/>
    </xf>
    <xf numFmtId="0" fontId="30" fillId="54" borderId="142" xfId="0" applyFont="1" applyFill="1" applyBorder="1" applyAlignment="1" applyProtection="1">
      <alignment vertical="center"/>
      <protection locked="0"/>
    </xf>
    <xf numFmtId="0" fontId="30" fillId="54" borderId="144" xfId="0" applyFont="1" applyFill="1" applyBorder="1" applyAlignment="1" applyProtection="1">
      <alignment vertical="center"/>
      <protection locked="0"/>
    </xf>
    <xf numFmtId="167" fontId="30" fillId="54" borderId="116" xfId="0" applyNumberFormat="1" applyFont="1" applyFill="1" applyBorder="1" applyAlignment="1" applyProtection="1">
      <alignment vertical="center"/>
      <protection locked="0"/>
    </xf>
    <xf numFmtId="0" fontId="30" fillId="54" borderId="136" xfId="0" applyFont="1" applyFill="1" applyBorder="1" applyAlignment="1" applyProtection="1">
      <alignment vertical="center"/>
      <protection locked="0"/>
    </xf>
    <xf numFmtId="0" fontId="30" fillId="54" borderId="140" xfId="0" applyFont="1" applyFill="1" applyBorder="1" applyAlignment="1" applyProtection="1">
      <alignment vertical="center"/>
      <protection locked="0"/>
    </xf>
    <xf numFmtId="0" fontId="30" fillId="54" borderId="139" xfId="0" applyFont="1" applyFill="1" applyBorder="1" applyAlignment="1" applyProtection="1">
      <alignment vertical="center"/>
      <protection locked="0"/>
    </xf>
    <xf numFmtId="167" fontId="30" fillId="54" borderId="137" xfId="0" applyNumberFormat="1" applyFont="1" applyFill="1" applyBorder="1" applyAlignment="1" applyProtection="1">
      <alignment vertical="center"/>
      <protection locked="0"/>
    </xf>
    <xf numFmtId="0" fontId="30" fillId="54" borderId="145" xfId="0" applyFont="1" applyFill="1" applyBorder="1" applyAlignment="1" applyProtection="1">
      <alignment vertical="center"/>
      <protection locked="0"/>
    </xf>
    <xf numFmtId="0" fontId="30" fillId="54" borderId="146" xfId="0" applyFont="1" applyFill="1" applyBorder="1" applyAlignment="1" applyProtection="1">
      <alignment vertical="center"/>
      <protection locked="0"/>
    </xf>
    <xf numFmtId="0" fontId="30" fillId="54" borderId="147" xfId="0" applyFont="1" applyFill="1" applyBorder="1" applyAlignment="1" applyProtection="1">
      <alignment vertical="center"/>
      <protection locked="0"/>
    </xf>
    <xf numFmtId="0" fontId="30" fillId="54" borderId="121" xfId="0" applyFont="1" applyFill="1" applyBorder="1" applyAlignment="1" applyProtection="1">
      <alignment vertical="center"/>
      <protection locked="0"/>
    </xf>
    <xf numFmtId="0" fontId="35" fillId="3" borderId="122" xfId="0" applyFont="1" applyFill="1" applyBorder="1" applyAlignment="1">
      <alignment horizontal="center" vertical="center" wrapText="1"/>
    </xf>
    <xf numFmtId="0" fontId="133" fillId="54" borderId="102" xfId="0" applyFont="1" applyFill="1" applyBorder="1" applyAlignment="1">
      <alignment vertical="center" wrapText="1"/>
    </xf>
    <xf numFmtId="0" fontId="35" fillId="3" borderId="68" xfId="0" applyFont="1" applyFill="1" applyBorder="1" applyAlignment="1">
      <alignment vertical="center" wrapText="1"/>
    </xf>
    <xf numFmtId="0" fontId="35" fillId="3" borderId="69" xfId="0" applyFont="1" applyFill="1" applyBorder="1" applyAlignment="1">
      <alignment horizontal="left" vertical="center" wrapText="1"/>
    </xf>
    <xf numFmtId="0" fontId="35" fillId="3" borderId="70" xfId="0" applyFont="1" applyFill="1" applyBorder="1" applyAlignment="1">
      <alignment horizontal="left" vertical="center" wrapText="1"/>
    </xf>
    <xf numFmtId="166" fontId="34" fillId="3" borderId="92" xfId="0" applyNumberFormat="1" applyFont="1" applyFill="1" applyBorder="1" applyAlignment="1">
      <alignment horizontal="left" vertical="center" wrapText="1"/>
    </xf>
    <xf numFmtId="1" fontId="34" fillId="3" borderId="93" xfId="0" applyNumberFormat="1" applyFont="1" applyFill="1" applyBorder="1" applyAlignment="1">
      <alignment horizontal="center" vertical="center" wrapText="1"/>
    </xf>
    <xf numFmtId="166" fontId="50" fillId="3" borderId="93" xfId="0" applyNumberFormat="1" applyFont="1" applyFill="1" applyBorder="1" applyAlignment="1">
      <alignment horizontal="center" vertical="center" wrapText="1"/>
    </xf>
    <xf numFmtId="167" fontId="30" fillId="54" borderId="149" xfId="0" applyNumberFormat="1" applyFont="1" applyFill="1" applyBorder="1" applyAlignment="1" applyProtection="1">
      <alignment horizontal="center" vertical="center"/>
      <protection locked="0"/>
    </xf>
    <xf numFmtId="0" fontId="0" fillId="54" borderId="149" xfId="0" applyFill="1" applyBorder="1" applyAlignment="1" applyProtection="1">
      <alignment horizontal="left" vertical="center" wrapText="1"/>
      <protection locked="0"/>
    </xf>
    <xf numFmtId="0" fontId="30" fillId="54" borderId="149" xfId="0" applyFont="1" applyFill="1" applyBorder="1" applyAlignment="1" applyProtection="1">
      <alignment horizontal="left" vertical="center" wrapText="1"/>
      <protection locked="0"/>
    </xf>
    <xf numFmtId="164" fontId="30" fillId="54" borderId="149" xfId="0" applyNumberFormat="1" applyFont="1" applyFill="1" applyBorder="1" applyAlignment="1" applyProtection="1">
      <alignment horizontal="right" vertical="center" wrapText="1"/>
      <protection locked="0"/>
    </xf>
    <xf numFmtId="167" fontId="30" fillId="54" borderId="149" xfId="0" applyNumberFormat="1" applyFont="1" applyFill="1" applyBorder="1" applyAlignment="1" applyProtection="1">
      <alignment vertical="center"/>
      <protection locked="0"/>
    </xf>
    <xf numFmtId="0" fontId="35" fillId="3" borderId="69" xfId="0" applyFont="1" applyFill="1" applyBorder="1" applyAlignment="1">
      <alignment vertical="center" wrapText="1"/>
    </xf>
    <xf numFmtId="0" fontId="35" fillId="3" borderId="70" xfId="0" applyFont="1" applyFill="1" applyBorder="1" applyAlignment="1">
      <alignment vertical="center" wrapText="1"/>
    </xf>
    <xf numFmtId="164" fontId="30" fillId="54" borderId="149" xfId="0" applyNumberFormat="1" applyFont="1" applyFill="1" applyBorder="1" applyAlignment="1" applyProtection="1">
      <alignment vertical="center" wrapText="1"/>
      <protection locked="0"/>
    </xf>
    <xf numFmtId="0" fontId="0" fillId="54" borderId="149" xfId="0" applyFill="1" applyBorder="1" applyAlignment="1" applyProtection="1">
      <alignment horizontal="center" vertical="center" wrapText="1"/>
      <protection locked="0"/>
    </xf>
    <xf numFmtId="0" fontId="0" fillId="54" borderId="149" xfId="0" applyFill="1" applyBorder="1" applyAlignment="1" applyProtection="1">
      <alignment vertical="center" wrapText="1"/>
      <protection locked="0"/>
    </xf>
    <xf numFmtId="167" fontId="30" fillId="54" borderId="149" xfId="0" applyNumberFormat="1" applyFont="1" applyFill="1" applyBorder="1" applyAlignment="1" applyProtection="1">
      <alignment horizontal="center" vertical="center" wrapText="1"/>
      <protection locked="0"/>
    </xf>
    <xf numFmtId="164" fontId="133" fillId="54" borderId="149" xfId="0" applyNumberFormat="1" applyFont="1" applyFill="1" applyBorder="1" applyAlignment="1" applyProtection="1">
      <alignment vertical="center" wrapText="1"/>
      <protection locked="0"/>
    </xf>
    <xf numFmtId="165" fontId="30" fillId="54" borderId="60" xfId="2" applyFont="1" applyFill="1" applyBorder="1" applyAlignment="1" applyProtection="1">
      <alignment vertical="center"/>
      <protection locked="0"/>
    </xf>
    <xf numFmtId="165" fontId="133" fillId="54" borderId="60" xfId="2" applyFont="1" applyFill="1" applyBorder="1" applyAlignment="1" applyProtection="1">
      <alignment vertical="center"/>
      <protection locked="0"/>
    </xf>
    <xf numFmtId="0" fontId="30" fillId="0" borderId="0" xfId="0" applyFont="1" applyAlignment="1">
      <alignment horizontal="center" vertical="center" wrapText="1" readingOrder="1"/>
    </xf>
    <xf numFmtId="0" fontId="29" fillId="10" borderId="2" xfId="0" applyFont="1" applyFill="1" applyBorder="1" applyAlignment="1" applyProtection="1">
      <alignment horizontal="left" vertical="center" wrapText="1" readingOrder="1"/>
      <protection locked="0"/>
    </xf>
    <xf numFmtId="0" fontId="28" fillId="0" borderId="6" xfId="0" applyFont="1" applyBorder="1" applyAlignment="1">
      <alignment horizontal="left" vertical="center"/>
    </xf>
    <xf numFmtId="0" fontId="37"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9" fillId="10" borderId="2" xfId="0" applyNumberFormat="1" applyFont="1" applyFill="1" applyBorder="1" applyAlignment="1" applyProtection="1">
      <alignment horizontal="left" vertical="center" wrapText="1" readingOrder="1"/>
      <protection locked="0"/>
    </xf>
    <xf numFmtId="167" fontId="28" fillId="0" borderId="2" xfId="0" applyNumberFormat="1" applyFont="1" applyBorder="1" applyAlignment="1">
      <alignment horizontal="left" vertical="center" wrapText="1" readingOrder="1"/>
    </xf>
    <xf numFmtId="0" fontId="50" fillId="3" borderId="0" xfId="0" applyFont="1" applyFill="1" applyAlignment="1">
      <alignment horizontal="center" vertical="center" wrapText="1"/>
    </xf>
    <xf numFmtId="0" fontId="33" fillId="3" borderId="0" xfId="0" applyFont="1" applyFill="1" applyAlignment="1">
      <alignment horizontal="center" vertical="center" wrapText="1" readingOrder="1"/>
    </xf>
    <xf numFmtId="0" fontId="18" fillId="0" borderId="1" xfId="0" applyFont="1" applyBorder="1" applyAlignment="1">
      <alignment horizontal="center" vertical="center" wrapText="1" readingOrder="1"/>
    </xf>
    <xf numFmtId="0" fontId="18" fillId="0" borderId="0" xfId="0" applyFont="1" applyAlignment="1">
      <alignment horizontal="center" vertical="center" wrapText="1" readingOrder="1"/>
    </xf>
    <xf numFmtId="0" fontId="20" fillId="0" borderId="1" xfId="0" applyFont="1" applyBorder="1" applyAlignment="1">
      <alignment horizontal="center" vertical="center" wrapText="1" readingOrder="1"/>
    </xf>
    <xf numFmtId="0" fontId="20" fillId="0" borderId="0" xfId="0" applyFont="1" applyAlignment="1">
      <alignment horizontal="center" vertical="center" wrapText="1" readingOrder="1"/>
    </xf>
    <xf numFmtId="0" fontId="35" fillId="3" borderId="0" xfId="0" applyFont="1" applyFill="1" applyAlignment="1">
      <alignment horizontal="center" vertical="center" wrapText="1" readingOrder="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50" fillId="7" borderId="0" xfId="0" applyFont="1" applyFill="1" applyAlignment="1">
      <alignment horizontal="center" vertical="center" wrapText="1"/>
    </xf>
    <xf numFmtId="0" fontId="29" fillId="54" borderId="2" xfId="0" applyFont="1" applyFill="1" applyBorder="1" applyAlignment="1" applyProtection="1">
      <alignment horizontal="left" vertical="center" wrapText="1" readingOrder="1"/>
      <protection locked="0"/>
    </xf>
    <xf numFmtId="0" fontId="29" fillId="54" borderId="129" xfId="0" applyFont="1" applyFill="1" applyBorder="1" applyAlignment="1" applyProtection="1">
      <alignment horizontal="left" vertical="center" wrapText="1" readingOrder="1"/>
      <protection locked="0"/>
    </xf>
    <xf numFmtId="0" fontId="29" fillId="54" borderId="106" xfId="0" applyFont="1" applyFill="1" applyBorder="1" applyAlignment="1" applyProtection="1">
      <alignment horizontal="left" vertical="center" wrapText="1" readingOrder="1"/>
      <protection locked="0"/>
    </xf>
    <xf numFmtId="0" fontId="29" fillId="54" borderId="130" xfId="0" applyFont="1" applyFill="1" applyBorder="1" applyAlignment="1" applyProtection="1">
      <alignment horizontal="left" vertical="center" wrapText="1" readingOrder="1"/>
      <protection locked="0"/>
    </xf>
    <xf numFmtId="0" fontId="30" fillId="0" borderId="124" xfId="0" applyFont="1" applyBorder="1" applyAlignment="1">
      <alignment horizontal="center" vertical="center" wrapText="1" readingOrder="1"/>
    </xf>
    <xf numFmtId="0" fontId="30" fillId="0" borderId="125" xfId="0" applyFont="1" applyBorder="1" applyAlignment="1">
      <alignment horizontal="center" vertical="center" wrapText="1" readingOrder="1"/>
    </xf>
    <xf numFmtId="0" fontId="37" fillId="2" borderId="111"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3" xfId="0" applyFont="1" applyFill="1" applyBorder="1" applyAlignment="1">
      <alignment horizontal="center" vertical="center"/>
    </xf>
    <xf numFmtId="0" fontId="105" fillId="54" borderId="2" xfId="0" applyFont="1" applyFill="1" applyBorder="1" applyAlignment="1" applyProtection="1">
      <alignment horizontal="left" vertical="center" wrapText="1" readingOrder="1"/>
      <protection locked="0"/>
    </xf>
    <xf numFmtId="0" fontId="105" fillId="54" borderId="129" xfId="0" applyFont="1" applyFill="1" applyBorder="1" applyAlignment="1" applyProtection="1">
      <alignment horizontal="left" vertical="center" wrapText="1" readingOrder="1"/>
      <protection locked="0"/>
    </xf>
    <xf numFmtId="167" fontId="105" fillId="54" borderId="2" xfId="0" applyNumberFormat="1" applyFont="1" applyFill="1" applyBorder="1" applyAlignment="1" applyProtection="1">
      <alignment horizontal="left" vertical="center" wrapText="1" readingOrder="1"/>
      <protection locked="0"/>
    </xf>
    <xf numFmtId="167" fontId="105" fillId="54" borderId="129" xfId="0" applyNumberFormat="1" applyFont="1" applyFill="1" applyBorder="1" applyAlignment="1" applyProtection="1">
      <alignment horizontal="left" vertical="center" wrapText="1" readingOrder="1"/>
      <protection locked="0"/>
    </xf>
    <xf numFmtId="0" fontId="28" fillId="0" borderId="2" xfId="0" applyFont="1" applyBorder="1" applyAlignment="1">
      <alignment horizontal="left" vertical="center"/>
    </xf>
    <xf numFmtId="0" fontId="28" fillId="0" borderId="129" xfId="0" applyFont="1" applyBorder="1" applyAlignment="1">
      <alignment horizontal="left" vertical="center"/>
    </xf>
    <xf numFmtId="0" fontId="50" fillId="3" borderId="96" xfId="0" applyFont="1" applyFill="1" applyBorder="1" applyAlignment="1">
      <alignment horizontal="center" vertical="center" wrapText="1"/>
    </xf>
    <xf numFmtId="0" fontId="50" fillId="3" borderId="123" xfId="0" applyFont="1" applyFill="1" applyBorder="1" applyAlignment="1">
      <alignment horizontal="center" vertical="center" wrapText="1"/>
    </xf>
    <xf numFmtId="167" fontId="30" fillId="54" borderId="67" xfId="0" applyNumberFormat="1" applyFont="1" applyFill="1" applyBorder="1" applyAlignment="1" applyProtection="1">
      <alignment horizontal="center" vertical="center"/>
      <protection locked="0"/>
    </xf>
    <xf numFmtId="167" fontId="30" fillId="54" borderId="137" xfId="0" applyNumberFormat="1" applyFont="1" applyFill="1" applyBorder="1" applyAlignment="1" applyProtection="1">
      <alignment horizontal="center" vertical="center"/>
      <protection locked="0"/>
    </xf>
    <xf numFmtId="0" fontId="30" fillId="54" borderId="50" xfId="0" applyFont="1" applyFill="1" applyBorder="1" applyAlignment="1" applyProtection="1">
      <alignment horizontal="center" vertical="center" wrapText="1"/>
      <protection locked="0"/>
    </xf>
    <xf numFmtId="0" fontId="30" fillId="54" borderId="49" xfId="0" applyFont="1" applyFill="1" applyBorder="1" applyAlignment="1" applyProtection="1">
      <alignment horizontal="center" vertical="center" wrapText="1"/>
      <protection locked="0"/>
    </xf>
    <xf numFmtId="167" fontId="30" fillId="54" borderId="116" xfId="0" applyNumberFormat="1" applyFont="1" applyFill="1" applyBorder="1" applyAlignment="1" applyProtection="1">
      <alignment horizontal="center" vertical="center"/>
      <protection locked="0"/>
    </xf>
    <xf numFmtId="0" fontId="30" fillId="54" borderId="105" xfId="0" applyFont="1" applyFill="1" applyBorder="1" applyAlignment="1" applyProtection="1">
      <alignment horizontal="center" vertical="center" wrapText="1"/>
      <protection locked="0"/>
    </xf>
    <xf numFmtId="0" fontId="30" fillId="54" borderId="53" xfId="0" applyFont="1" applyFill="1" applyBorder="1" applyAlignment="1" applyProtection="1">
      <alignment horizontal="center" vertical="center" wrapText="1"/>
      <protection locked="0"/>
    </xf>
    <xf numFmtId="0" fontId="30" fillId="54" borderId="57" xfId="0" applyFont="1" applyFill="1" applyBorder="1" applyAlignment="1" applyProtection="1">
      <alignment horizontal="center" vertical="center" wrapText="1"/>
      <protection locked="0"/>
    </xf>
    <xf numFmtId="0" fontId="30" fillId="54" borderId="56" xfId="0" applyFont="1" applyFill="1" applyBorder="1" applyAlignment="1" applyProtection="1">
      <alignment horizontal="center" vertical="center" wrapText="1"/>
      <protection locked="0"/>
    </xf>
    <xf numFmtId="167" fontId="30" fillId="54" borderId="143" xfId="0" applyNumberFormat="1" applyFont="1" applyFill="1" applyBorder="1" applyAlignment="1" applyProtection="1">
      <alignment horizontal="center" vertical="center"/>
      <protection locked="0"/>
    </xf>
    <xf numFmtId="0" fontId="30" fillId="54" borderId="48" xfId="0" applyFont="1" applyFill="1" applyBorder="1" applyAlignment="1" applyProtection="1">
      <alignment horizontal="center" vertical="center" wrapText="1"/>
      <protection locked="0"/>
    </xf>
    <xf numFmtId="0" fontId="30" fillId="54" borderId="91" xfId="0" applyFont="1" applyFill="1" applyBorder="1" applyAlignment="1" applyProtection="1">
      <alignment horizontal="center" vertical="center" wrapText="1"/>
      <protection locked="0"/>
    </xf>
    <xf numFmtId="0" fontId="30" fillId="54" borderId="135" xfId="0" applyFont="1" applyFill="1" applyBorder="1" applyAlignment="1" applyProtection="1">
      <alignment horizontal="center" vertical="center" wrapText="1"/>
      <protection locked="0"/>
    </xf>
    <xf numFmtId="0" fontId="30" fillId="54" borderId="10" xfId="0" applyFont="1" applyFill="1" applyBorder="1" applyAlignment="1" applyProtection="1">
      <alignment horizontal="center" vertical="center" wrapText="1"/>
      <protection locked="0"/>
    </xf>
    <xf numFmtId="0" fontId="30" fillId="54" borderId="55" xfId="0" applyFont="1" applyFill="1" applyBorder="1" applyAlignment="1" applyProtection="1">
      <alignment horizontal="center" vertical="center" wrapText="1"/>
      <protection locked="0"/>
    </xf>
    <xf numFmtId="167" fontId="30" fillId="54" borderId="118" xfId="0" applyNumberFormat="1" applyFont="1" applyFill="1" applyBorder="1" applyAlignment="1" applyProtection="1">
      <alignment horizontal="center" vertical="center"/>
      <protection locked="0"/>
    </xf>
    <xf numFmtId="167" fontId="30" fillId="54" borderId="120" xfId="0" applyNumberFormat="1" applyFont="1" applyFill="1" applyBorder="1" applyAlignment="1" applyProtection="1">
      <alignment horizontal="center" vertical="center"/>
      <protection locked="0"/>
    </xf>
    <xf numFmtId="167" fontId="30" fillId="54" borderId="148" xfId="0" quotePrefix="1" applyNumberFormat="1" applyFont="1" applyFill="1" applyBorder="1" applyAlignment="1" applyProtection="1">
      <alignment horizontal="center" vertical="center"/>
      <protection locked="0"/>
    </xf>
    <xf numFmtId="167" fontId="30" fillId="54" borderId="116" xfId="0" quotePrefix="1" applyNumberFormat="1" applyFont="1" applyFill="1" applyBorder="1" applyAlignment="1" applyProtection="1">
      <alignment horizontal="center" vertical="center"/>
      <protection locked="0"/>
    </xf>
    <xf numFmtId="167" fontId="30" fillId="54" borderId="120" xfId="0" quotePrefix="1" applyNumberFormat="1" applyFont="1" applyFill="1" applyBorder="1" applyAlignment="1" applyProtection="1">
      <alignment horizontal="center" vertical="center"/>
      <protection locked="0"/>
    </xf>
    <xf numFmtId="0" fontId="50" fillId="3" borderId="97" xfId="0" applyFont="1" applyFill="1" applyBorder="1" applyAlignment="1">
      <alignment horizontal="center" vertical="center" wrapText="1"/>
    </xf>
    <xf numFmtId="0" fontId="33" fillId="3" borderId="111" xfId="0" applyFont="1" applyFill="1" applyBorder="1" applyAlignment="1">
      <alignment horizontal="center" vertical="center" wrapText="1" readingOrder="1"/>
    </xf>
    <xf numFmtId="0" fontId="33" fillId="3" borderId="112" xfId="0" applyFont="1" applyFill="1" applyBorder="1" applyAlignment="1">
      <alignment horizontal="center" vertical="center" wrapText="1" readingOrder="1"/>
    </xf>
    <xf numFmtId="0" fontId="33" fillId="3" borderId="113" xfId="0" applyFont="1" applyFill="1" applyBorder="1" applyAlignment="1">
      <alignment horizontal="center" vertical="center" wrapText="1" readingOrder="1"/>
    </xf>
    <xf numFmtId="0" fontId="29" fillId="54" borderId="73" xfId="0" applyFont="1" applyFill="1" applyBorder="1" applyAlignment="1" applyProtection="1">
      <alignment horizontal="left" vertical="center" wrapText="1" readingOrder="1"/>
      <protection locked="0"/>
    </xf>
    <xf numFmtId="0" fontId="37" fillId="2" borderId="68" xfId="0" applyFont="1" applyFill="1" applyBorder="1" applyAlignment="1">
      <alignment horizontal="center" vertical="center"/>
    </xf>
    <xf numFmtId="0" fontId="37" fillId="2" borderId="69" xfId="0" applyFont="1" applyFill="1" applyBorder="1" applyAlignment="1">
      <alignment horizontal="center" vertical="center"/>
    </xf>
    <xf numFmtId="0" fontId="37" fillId="2" borderId="70" xfId="0" applyFont="1" applyFill="1" applyBorder="1" applyAlignment="1">
      <alignment horizontal="center" vertical="center"/>
    </xf>
    <xf numFmtId="167" fontId="28" fillId="54" borderId="110" xfId="0" applyNumberFormat="1" applyFont="1" applyFill="1" applyBorder="1" applyAlignment="1">
      <alignment horizontal="left" vertical="center" wrapText="1" readingOrder="1"/>
    </xf>
    <xf numFmtId="167" fontId="28" fillId="54" borderId="109" xfId="0" applyNumberFormat="1" applyFont="1" applyFill="1" applyBorder="1" applyAlignment="1">
      <alignment horizontal="left" vertical="center" wrapText="1" readingOrder="1"/>
    </xf>
    <xf numFmtId="167" fontId="28" fillId="54" borderId="107" xfId="0" applyNumberFormat="1" applyFont="1" applyFill="1" applyBorder="1" applyAlignment="1">
      <alignment horizontal="left" vertical="center" wrapText="1" readingOrder="1"/>
    </xf>
    <xf numFmtId="167" fontId="28" fillId="54" borderId="108" xfId="0" applyNumberFormat="1" applyFont="1" applyFill="1" applyBorder="1" applyAlignment="1">
      <alignment horizontal="left" vertical="center" wrapText="1" readingOrder="1"/>
    </xf>
    <xf numFmtId="167" fontId="28" fillId="54" borderId="2" xfId="0" applyNumberFormat="1" applyFont="1" applyFill="1" applyBorder="1" applyAlignment="1">
      <alignment horizontal="left" vertical="center" wrapText="1" readingOrder="1"/>
    </xf>
    <xf numFmtId="167" fontId="28" fillId="54" borderId="73" xfId="0" applyNumberFormat="1" applyFont="1" applyFill="1" applyBorder="1" applyAlignment="1">
      <alignment horizontal="left" vertical="center" wrapText="1" readingOrder="1"/>
    </xf>
    <xf numFmtId="0" fontId="29" fillId="54" borderId="6" xfId="0" applyFont="1" applyFill="1" applyBorder="1" applyAlignment="1" applyProtection="1">
      <alignment horizontal="left" vertical="center" wrapText="1" readingOrder="1"/>
      <protection locked="0"/>
    </xf>
    <xf numFmtId="0" fontId="29" fillId="54" borderId="72" xfId="0" applyFont="1" applyFill="1" applyBorder="1" applyAlignment="1" applyProtection="1">
      <alignment horizontal="left" vertical="center" wrapText="1" readingOrder="1"/>
      <protection locked="0"/>
    </xf>
    <xf numFmtId="0" fontId="18" fillId="0" borderId="71" xfId="0" applyFont="1" applyBorder="1" applyAlignment="1">
      <alignment horizontal="center" vertical="center" wrapText="1" readingOrder="1"/>
    </xf>
    <xf numFmtId="0" fontId="18" fillId="0" borderId="74" xfId="0" applyFont="1" applyBorder="1" applyAlignment="1">
      <alignment horizontal="center" vertical="center" wrapText="1" readingOrder="1"/>
    </xf>
    <xf numFmtId="0" fontId="20" fillId="0" borderId="71" xfId="0" applyFont="1" applyBorder="1" applyAlignment="1">
      <alignment horizontal="center" vertical="center" wrapText="1" readingOrder="1"/>
    </xf>
    <xf numFmtId="0" fontId="20" fillId="0" borderId="74" xfId="0" applyFont="1" applyBorder="1" applyAlignment="1">
      <alignment horizontal="center" vertical="center" wrapText="1" readingOrder="1"/>
    </xf>
    <xf numFmtId="0" fontId="33" fillId="3" borderId="68" xfId="0" applyFont="1" applyFill="1" applyBorder="1" applyAlignment="1">
      <alignment horizontal="center" vertical="center" wrapText="1" readingOrder="1"/>
    </xf>
    <xf numFmtId="0" fontId="35" fillId="3" borderId="69" xfId="0" applyFont="1" applyFill="1" applyBorder="1" applyAlignment="1">
      <alignment horizontal="center" vertical="center" wrapText="1" readingOrder="1"/>
    </xf>
    <xf numFmtId="0" fontId="33" fillId="3" borderId="69" xfId="0" applyFont="1" applyFill="1" applyBorder="1" applyAlignment="1">
      <alignment horizontal="center" vertical="center" wrapText="1" readingOrder="1"/>
    </xf>
    <xf numFmtId="0" fontId="33" fillId="3" borderId="70" xfId="0" applyFont="1" applyFill="1" applyBorder="1" applyAlignment="1">
      <alignment horizontal="center" vertical="center" wrapText="1" readingOrder="1"/>
    </xf>
    <xf numFmtId="167" fontId="30" fillId="54" borderId="81" xfId="0" applyNumberFormat="1" applyFont="1" applyFill="1" applyBorder="1" applyAlignment="1" applyProtection="1">
      <alignment horizontal="center" vertical="center" wrapText="1"/>
      <protection locked="0"/>
    </xf>
    <xf numFmtId="167" fontId="30" fillId="54" borderId="80" xfId="0" applyNumberFormat="1" applyFont="1" applyFill="1" applyBorder="1" applyAlignment="1" applyProtection="1">
      <alignment horizontal="center" vertical="center" wrapText="1"/>
      <protection locked="0"/>
    </xf>
    <xf numFmtId="167" fontId="30" fillId="54" borderId="78" xfId="0" applyNumberFormat="1" applyFont="1" applyFill="1" applyBorder="1" applyAlignment="1" applyProtection="1">
      <alignment horizontal="center" vertical="center" wrapText="1"/>
      <protection locked="0"/>
    </xf>
    <xf numFmtId="0" fontId="29" fillId="54" borderId="58" xfId="0" applyFont="1" applyFill="1" applyBorder="1" applyAlignment="1" applyProtection="1">
      <alignment horizontal="left" vertical="center" wrapText="1" readingOrder="1"/>
      <protection locked="0"/>
    </xf>
    <xf numFmtId="0" fontId="29" fillId="54" borderId="98" xfId="0" applyFont="1" applyFill="1" applyBorder="1" applyAlignment="1" applyProtection="1">
      <alignment horizontal="left" vertical="center" wrapText="1" readingOrder="1"/>
      <protection locked="0"/>
    </xf>
    <xf numFmtId="0" fontId="18" fillId="0" borderId="87" xfId="0" applyFont="1" applyBorder="1" applyAlignment="1">
      <alignment horizontal="center" vertical="center" wrapText="1"/>
    </xf>
    <xf numFmtId="0" fontId="18"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88" xfId="0" applyFont="1" applyBorder="1" applyAlignment="1">
      <alignment horizontal="center" vertical="center" wrapText="1"/>
    </xf>
    <xf numFmtId="0" fontId="20" fillId="0" borderId="71" xfId="0" applyFont="1" applyBorder="1" applyAlignment="1">
      <alignment horizontal="center" vertical="center" wrapText="1"/>
    </xf>
    <xf numFmtId="0" fontId="21" fillId="0" borderId="74" xfId="0" applyFont="1" applyBorder="1" applyAlignment="1">
      <alignment horizontal="center" vertical="center" wrapText="1"/>
    </xf>
    <xf numFmtId="0" fontId="50" fillId="3" borderId="93" xfId="0" applyFont="1" applyFill="1" applyBorder="1" applyAlignment="1">
      <alignment horizontal="center" vertical="center" wrapText="1"/>
    </xf>
    <xf numFmtId="0" fontId="50" fillId="3" borderId="94" xfId="0" applyFont="1" applyFill="1" applyBorder="1" applyAlignment="1">
      <alignment horizontal="center" vertical="center" wrapText="1"/>
    </xf>
    <xf numFmtId="0" fontId="18" fillId="0" borderId="87" xfId="0" applyFont="1" applyBorder="1" applyAlignment="1">
      <alignment horizontal="center" vertical="center" wrapText="1" readingOrder="1"/>
    </xf>
    <xf numFmtId="0" fontId="18" fillId="0" borderId="18" xfId="0" applyFont="1" applyBorder="1" applyAlignment="1">
      <alignment horizontal="center" vertical="center" wrapText="1" readingOrder="1"/>
    </xf>
    <xf numFmtId="0" fontId="23" fillId="0" borderId="71" xfId="0" applyFont="1" applyBorder="1" applyAlignment="1">
      <alignment horizontal="center" vertical="center" wrapText="1"/>
    </xf>
    <xf numFmtId="0" fontId="23" fillId="0" borderId="74" xfId="0" applyFont="1" applyBorder="1" applyAlignment="1">
      <alignment horizontal="center" vertical="center"/>
    </xf>
    <xf numFmtId="0" fontId="18" fillId="0" borderId="88" xfId="0" applyFont="1" applyBorder="1" applyAlignment="1">
      <alignment horizontal="center" vertical="center" wrapText="1" readingOrder="1"/>
    </xf>
    <xf numFmtId="0" fontId="107" fillId="0" borderId="0" xfId="68" applyFont="1" applyAlignment="1">
      <alignment vertical="center" wrapText="1" readingOrder="1"/>
    </xf>
    <xf numFmtId="0" fontId="108" fillId="0" borderId="0" xfId="68" applyFont="1"/>
    <xf numFmtId="0" fontId="109" fillId="0" borderId="0" xfId="68" applyFont="1" applyAlignment="1">
      <alignment horizontal="right" vertical="center" wrapText="1" readingOrder="1"/>
    </xf>
    <xf numFmtId="0" fontId="109" fillId="0" borderId="0" xfId="68" applyFont="1" applyAlignment="1">
      <alignment vertical="center" wrapText="1" readingOrder="1"/>
    </xf>
    <xf numFmtId="0" fontId="109" fillId="0" borderId="0" xfId="68" applyFont="1" applyAlignment="1">
      <alignment vertical="top" wrapText="1" readingOrder="1"/>
    </xf>
    <xf numFmtId="0" fontId="111" fillId="0" borderId="0" xfId="68" applyFont="1" applyAlignment="1">
      <alignment wrapText="1" readingOrder="1"/>
    </xf>
    <xf numFmtId="0" fontId="110" fillId="0" borderId="0" xfId="68" applyFont="1" applyAlignment="1">
      <alignment vertical="top" wrapText="1" readingOrder="1"/>
    </xf>
    <xf numFmtId="0" fontId="111" fillId="0" borderId="0" xfId="68" applyFont="1" applyAlignment="1">
      <alignment horizontal="right" wrapText="1" readingOrder="1"/>
    </xf>
    <xf numFmtId="0" fontId="111" fillId="55" borderId="0" xfId="68" applyFont="1" applyFill="1" applyAlignment="1">
      <alignment vertical="top" wrapText="1" readingOrder="1"/>
    </xf>
    <xf numFmtId="0" fontId="112" fillId="55" borderId="0" xfId="68" applyFont="1" applyFill="1"/>
    <xf numFmtId="0" fontId="109" fillId="55" borderId="0" xfId="68" applyFont="1" applyFill="1" applyAlignment="1">
      <alignment vertical="top" wrapText="1" readingOrder="1"/>
    </xf>
    <xf numFmtId="0" fontId="108" fillId="55" borderId="0" xfId="68" applyFont="1" applyFill="1"/>
    <xf numFmtId="177" fontId="109" fillId="55" borderId="0" xfId="68" applyNumberFormat="1" applyFont="1" applyFill="1" applyAlignment="1">
      <alignment vertical="top" wrapText="1" readingOrder="1"/>
    </xf>
    <xf numFmtId="0" fontId="109" fillId="0" borderId="0" xfId="68" applyFont="1" applyAlignment="1">
      <alignment horizontal="left" vertical="center" wrapText="1" readingOrder="1"/>
    </xf>
    <xf numFmtId="177" fontId="109" fillId="0" borderId="0" xfId="68" applyNumberFormat="1" applyFont="1" applyAlignment="1">
      <alignment horizontal="right" vertical="center" wrapText="1" readingOrder="1"/>
    </xf>
    <xf numFmtId="177" fontId="109" fillId="0" borderId="0" xfId="68" applyNumberFormat="1" applyFont="1" applyAlignment="1">
      <alignment vertical="center" wrapText="1" readingOrder="1"/>
    </xf>
    <xf numFmtId="177" fontId="109" fillId="0" borderId="0" xfId="68" applyNumberFormat="1" applyFont="1" applyAlignment="1">
      <alignment vertical="top" wrapText="1" readingOrder="1"/>
    </xf>
    <xf numFmtId="0" fontId="109" fillId="9" borderId="0" xfId="68" applyFont="1" applyFill="1" applyAlignment="1">
      <alignment horizontal="left" vertical="center" wrapText="1" readingOrder="1"/>
    </xf>
    <xf numFmtId="0" fontId="108" fillId="9" borderId="0" xfId="68" applyFont="1" applyFill="1"/>
    <xf numFmtId="0" fontId="109" fillId="9" borderId="0" xfId="68" applyFont="1" applyFill="1" applyAlignment="1">
      <alignment vertical="center" wrapText="1" readingOrder="1"/>
    </xf>
    <xf numFmtId="177" fontId="109" fillId="9" borderId="0" xfId="68" applyNumberFormat="1" applyFont="1" applyFill="1" applyAlignment="1">
      <alignment horizontal="right" vertical="center" wrapText="1" readingOrder="1"/>
    </xf>
    <xf numFmtId="177" fontId="109" fillId="9" borderId="0" xfId="68" applyNumberFormat="1" applyFont="1" applyFill="1" applyAlignment="1">
      <alignment vertical="center" wrapText="1" readingOrder="1"/>
    </xf>
    <xf numFmtId="0" fontId="119" fillId="51" borderId="0" xfId="68" applyFont="1" applyFill="1" applyAlignment="1">
      <alignment horizontal="left" vertical="center" wrapText="1" readingOrder="1"/>
    </xf>
    <xf numFmtId="0" fontId="120" fillId="51" borderId="0" xfId="68" applyFont="1" applyFill="1"/>
    <xf numFmtId="0" fontId="119" fillId="51" borderId="0" xfId="68" applyFont="1" applyFill="1" applyAlignment="1">
      <alignment vertical="center" wrapText="1" readingOrder="1"/>
    </xf>
    <xf numFmtId="177" fontId="119" fillId="51" borderId="0" xfId="68" applyNumberFormat="1" applyFont="1" applyFill="1" applyAlignment="1">
      <alignment horizontal="right" vertical="center" wrapText="1" readingOrder="1"/>
    </xf>
    <xf numFmtId="177" fontId="119" fillId="51" borderId="0" xfId="68" applyNumberFormat="1" applyFont="1" applyFill="1" applyAlignment="1">
      <alignment vertical="center" wrapText="1" readingOrder="1"/>
    </xf>
    <xf numFmtId="0" fontId="122" fillId="9" borderId="0" xfId="68" applyFont="1" applyFill="1" applyAlignment="1">
      <alignment horizontal="left" vertical="center" wrapText="1" readingOrder="1"/>
    </xf>
    <xf numFmtId="0" fontId="123" fillId="9" borderId="0" xfId="68" applyFont="1" applyFill="1"/>
    <xf numFmtId="0" fontId="122" fillId="9" borderId="0" xfId="68" applyFont="1" applyFill="1" applyAlignment="1">
      <alignment vertical="center" wrapText="1" readingOrder="1"/>
    </xf>
    <xf numFmtId="177" fontId="122" fillId="9" borderId="0" xfId="68" applyNumberFormat="1" applyFont="1" applyFill="1" applyAlignment="1">
      <alignment horizontal="right" vertical="center" wrapText="1" readingOrder="1"/>
    </xf>
    <xf numFmtId="177" fontId="122" fillId="9" borderId="0" xfId="68" applyNumberFormat="1" applyFont="1" applyFill="1" applyAlignment="1">
      <alignment vertical="center" wrapText="1" readingOrder="1"/>
    </xf>
    <xf numFmtId="0" fontId="109" fillId="58" borderId="0" xfId="68" applyFont="1" applyFill="1" applyAlignment="1">
      <alignment horizontal="left" vertical="center" wrapText="1" readingOrder="1"/>
    </xf>
    <xf numFmtId="0" fontId="108" fillId="58" borderId="0" xfId="68" applyFont="1" applyFill="1"/>
    <xf numFmtId="0" fontId="109" fillId="58" borderId="0" xfId="68" applyFont="1" applyFill="1" applyAlignment="1">
      <alignment vertical="center" wrapText="1" readingOrder="1"/>
    </xf>
    <xf numFmtId="177" fontId="109" fillId="58" borderId="0" xfId="68" applyNumberFormat="1" applyFont="1" applyFill="1" applyAlignment="1">
      <alignment horizontal="right" vertical="center" wrapText="1" readingOrder="1"/>
    </xf>
    <xf numFmtId="177" fontId="109" fillId="58" borderId="0" xfId="68" applyNumberFormat="1" applyFont="1" applyFill="1" applyAlignment="1">
      <alignment vertical="center" wrapText="1" readingOrder="1"/>
    </xf>
    <xf numFmtId="0" fontId="109" fillId="57" borderId="0" xfId="68" applyFont="1" applyFill="1" applyAlignment="1">
      <alignment horizontal="left" vertical="center" wrapText="1" readingOrder="1"/>
    </xf>
    <xf numFmtId="0" fontId="108" fillId="57" borderId="0" xfId="68" applyFont="1" applyFill="1"/>
    <xf numFmtId="0" fontId="109" fillId="57" borderId="0" xfId="68" applyFont="1" applyFill="1" applyAlignment="1">
      <alignment vertical="center" wrapText="1" readingOrder="1"/>
    </xf>
    <xf numFmtId="177" fontId="109" fillId="57" borderId="0" xfId="68" applyNumberFormat="1" applyFont="1" applyFill="1" applyAlignment="1">
      <alignment horizontal="right" vertical="center" wrapText="1" readingOrder="1"/>
    </xf>
    <xf numFmtId="177" fontId="109" fillId="57" borderId="0" xfId="68" applyNumberFormat="1" applyFont="1" applyFill="1" applyAlignment="1">
      <alignment vertical="center" wrapText="1" readingOrder="1"/>
    </xf>
    <xf numFmtId="0" fontId="109" fillId="9" borderId="0" xfId="0" applyFont="1" applyFill="1" applyAlignment="1">
      <alignment horizontal="left" vertical="center" wrapText="1" readingOrder="1"/>
    </xf>
    <xf numFmtId="0" fontId="108" fillId="9" borderId="0" xfId="0" applyFont="1" applyFill="1"/>
    <xf numFmtId="0" fontId="109" fillId="9" borderId="0" xfId="0" applyFont="1" applyFill="1" applyAlignment="1">
      <alignment vertical="center" wrapText="1" readingOrder="1"/>
    </xf>
    <xf numFmtId="177" fontId="109" fillId="9" borderId="0" xfId="0" applyNumberFormat="1" applyFont="1" applyFill="1" applyAlignment="1">
      <alignment horizontal="right" vertical="center" wrapText="1" readingOrder="1"/>
    </xf>
    <xf numFmtId="177" fontId="109" fillId="9" borderId="0" xfId="0" applyNumberFormat="1" applyFont="1" applyFill="1" applyAlignment="1">
      <alignment vertical="center" wrapText="1" readingOrder="1"/>
    </xf>
    <xf numFmtId="0" fontId="19" fillId="51" borderId="0" xfId="0" applyFont="1" applyFill="1" applyAlignment="1">
      <alignment vertical="center" wrapText="1"/>
    </xf>
    <xf numFmtId="49" fontId="73" fillId="0" borderId="0" xfId="0" applyNumberFormat="1" applyFont="1" applyAlignment="1">
      <alignment horizontal="left"/>
    </xf>
    <xf numFmtId="14" fontId="73" fillId="0" borderId="0" xfId="0" applyNumberFormat="1" applyFont="1" applyAlignment="1">
      <alignment horizontal="left"/>
    </xf>
    <xf numFmtId="175" fontId="38" fillId="0" borderId="0" xfId="0" applyNumberFormat="1" applyFont="1" applyAlignment="1">
      <alignment horizontal="left" vertical="top"/>
    </xf>
    <xf numFmtId="0" fontId="0" fillId="0" borderId="0" xfId="0"/>
    <xf numFmtId="3" fontId="38" fillId="0" borderId="0" xfId="0" applyNumberFormat="1" applyFont="1" applyAlignment="1">
      <alignment horizontal="center" vertical="top"/>
    </xf>
    <xf numFmtId="0" fontId="99" fillId="0" borderId="0" xfId="0" applyFont="1" applyAlignment="1">
      <alignment horizontal="center" vertical="top"/>
    </xf>
    <xf numFmtId="19" fontId="38" fillId="0" borderId="0" xfId="0" applyNumberFormat="1" applyFont="1" applyAlignment="1">
      <alignment horizontal="right" vertical="top"/>
    </xf>
    <xf numFmtId="0" fontId="38" fillId="0" borderId="0" xfId="0" applyFont="1" applyAlignment="1">
      <alignment horizontal="center" vertical="top"/>
    </xf>
    <xf numFmtId="175" fontId="22" fillId="0" borderId="0" xfId="0" applyNumberFormat="1" applyFont="1" applyAlignment="1">
      <alignment horizontal="left" vertical="top"/>
    </xf>
    <xf numFmtId="0" fontId="22" fillId="0" borderId="0" xfId="0" applyFont="1"/>
    <xf numFmtId="3" fontId="22" fillId="0" borderId="0" xfId="0" applyNumberFormat="1" applyFont="1" applyAlignment="1">
      <alignment horizontal="center" vertical="top"/>
    </xf>
    <xf numFmtId="19" fontId="22" fillId="0" borderId="0" xfId="0" applyNumberFormat="1" applyFont="1" applyAlignment="1">
      <alignment horizontal="right" vertical="top"/>
    </xf>
    <xf numFmtId="0" fontId="54" fillId="0" borderId="28" xfId="9" applyFont="1" applyBorder="1" applyAlignment="1">
      <alignment horizontal="left" vertical="center" wrapText="1"/>
    </xf>
    <xf numFmtId="0" fontId="126" fillId="0" borderId="0" xfId="68" applyFont="1" applyAlignment="1">
      <alignment vertical="top" wrapText="1" readingOrder="1"/>
    </xf>
    <xf numFmtId="0" fontId="125" fillId="0" borderId="0" xfId="68" applyFont="1"/>
    <xf numFmtId="177" fontId="126" fillId="0" borderId="0" xfId="68" applyNumberFormat="1" applyFont="1" applyAlignment="1">
      <alignment vertical="top" wrapText="1" readingOrder="1"/>
    </xf>
    <xf numFmtId="177" fontId="126" fillId="0" borderId="0" xfId="68" applyNumberFormat="1" applyFont="1" applyAlignment="1">
      <alignment vertical="center" wrapText="1" readingOrder="1"/>
    </xf>
    <xf numFmtId="0" fontId="126" fillId="0" borderId="0" xfId="68" applyFont="1" applyAlignment="1">
      <alignment horizontal="left" vertical="center" wrapText="1" readingOrder="1"/>
    </xf>
    <xf numFmtId="0" fontId="126" fillId="0" borderId="0" xfId="68" applyFont="1" applyAlignment="1">
      <alignment vertical="center" wrapText="1" readingOrder="1"/>
    </xf>
    <xf numFmtId="177" fontId="126" fillId="0" borderId="0" xfId="68" applyNumberFormat="1" applyFont="1" applyAlignment="1">
      <alignment horizontal="right" vertical="center" wrapText="1" readingOrder="1"/>
    </xf>
    <xf numFmtId="177" fontId="127" fillId="59" borderId="0" xfId="68" applyNumberFormat="1" applyFont="1" applyFill="1" applyAlignment="1">
      <alignment vertical="center" wrapText="1" readingOrder="1"/>
    </xf>
    <xf numFmtId="0" fontId="128" fillId="59" borderId="0" xfId="68" applyFont="1" applyFill="1"/>
    <xf numFmtId="0" fontId="127" fillId="59" borderId="0" xfId="68" applyFont="1" applyFill="1" applyAlignment="1">
      <alignment horizontal="left" vertical="center" wrapText="1" readingOrder="1"/>
    </xf>
    <xf numFmtId="0" fontId="127" fillId="59" borderId="0" xfId="68" applyFont="1" applyFill="1" applyAlignment="1">
      <alignment vertical="center" wrapText="1" readingOrder="1"/>
    </xf>
    <xf numFmtId="177" fontId="127" fillId="59" borderId="0" xfId="68" applyNumberFormat="1" applyFont="1" applyFill="1" applyAlignment="1">
      <alignment horizontal="right" vertical="center" wrapText="1" readingOrder="1"/>
    </xf>
    <xf numFmtId="177" fontId="126" fillId="9" borderId="0" xfId="68" applyNumberFormat="1" applyFont="1" applyFill="1" applyAlignment="1">
      <alignment vertical="center" wrapText="1" readingOrder="1"/>
    </xf>
    <xf numFmtId="0" fontId="125" fillId="9" borderId="0" xfId="68" applyFont="1" applyFill="1"/>
    <xf numFmtId="0" fontId="126" fillId="9" borderId="0" xfId="68" applyFont="1" applyFill="1" applyAlignment="1">
      <alignment horizontal="left" vertical="center" wrapText="1" readingOrder="1"/>
    </xf>
    <xf numFmtId="0" fontId="126" fillId="9" borderId="0" xfId="68" applyFont="1" applyFill="1" applyAlignment="1">
      <alignment vertical="center" wrapText="1" readingOrder="1"/>
    </xf>
    <xf numFmtId="177" fontId="126" fillId="9" borderId="0" xfId="68" applyNumberFormat="1" applyFont="1" applyFill="1" applyAlignment="1">
      <alignment horizontal="right" vertical="center" wrapText="1" readingOrder="1"/>
    </xf>
    <xf numFmtId="0" fontId="124" fillId="0" borderId="0" xfId="68" applyFont="1" applyAlignment="1">
      <alignment vertical="center" wrapText="1" readingOrder="1"/>
    </xf>
    <xf numFmtId="0" fontId="126" fillId="0" borderId="0" xfId="68" applyFont="1" applyAlignment="1">
      <alignment horizontal="right" vertical="center" wrapText="1" readingOrder="1"/>
    </xf>
    <xf numFmtId="0" fontId="124" fillId="0" borderId="0" xfId="68" applyFont="1" applyAlignment="1">
      <alignment wrapText="1" readingOrder="1"/>
    </xf>
    <xf numFmtId="0" fontId="124" fillId="0" borderId="0" xfId="68" applyFont="1" applyAlignment="1">
      <alignment horizontal="right" wrapText="1" readingOrder="1"/>
    </xf>
    <xf numFmtId="177" fontId="131" fillId="9" borderId="0" xfId="68" applyNumberFormat="1" applyFont="1" applyFill="1" applyAlignment="1">
      <alignment vertical="center" wrapText="1" readingOrder="1"/>
    </xf>
    <xf numFmtId="0" fontId="131" fillId="9" borderId="0" xfId="68" applyFont="1" applyFill="1" applyAlignment="1">
      <alignment horizontal="left" vertical="center" wrapText="1" readingOrder="1"/>
    </xf>
    <xf numFmtId="0" fontId="131" fillId="9" borderId="0" xfId="68" applyFont="1" applyFill="1" applyAlignment="1">
      <alignment vertical="center" wrapText="1" readingOrder="1"/>
    </xf>
    <xf numFmtId="177" fontId="131" fillId="9" borderId="0" xfId="68" applyNumberFormat="1" applyFont="1" applyFill="1" applyAlignment="1">
      <alignment horizontal="right" vertical="center" wrapText="1" readingOrder="1"/>
    </xf>
  </cellXfs>
  <cellStyles count="85">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8" xr:uid="{825F38EE-0174-4CF3-91AF-C245AECACD9F}"/>
    <cellStyle name="60% - Accent2 2" xfId="49" xr:uid="{D9A82FBC-178F-41C2-9E53-1C90A02B0E82}"/>
    <cellStyle name="60% - Accent3 2" xfId="50" xr:uid="{730DD201-ECA8-4619-A76B-D7BC8C6013E9}"/>
    <cellStyle name="60% - Accent4 2" xfId="51" xr:uid="{00C7E43F-55DB-43F3-8899-9FA1D9AAA342}"/>
    <cellStyle name="60% - Accent5 2" xfId="52" xr:uid="{C10F7C86-6AD5-495C-96BA-EA11238E2687}"/>
    <cellStyle name="60% - Accent6 2" xfId="53" xr:uid="{9D70AAA0-F7DC-4E75-8826-26E224ABAB15}"/>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xfId="3" builtinId="3"/>
    <cellStyle name="Comma 2" xfId="4" xr:uid="{4A237A49-6851-4B8B-93C3-545B00F87621}"/>
    <cellStyle name="Comma 2 2" xfId="44" xr:uid="{AFC30815-BE4C-4FB9-9CCC-9D8AAE7D8872}"/>
    <cellStyle name="Comma 3" xfId="57" xr:uid="{5280C8B7-BBD6-4639-BA83-2E34B6C2185F}"/>
    <cellStyle name="Comma 4" xfId="60" xr:uid="{46BD0BAB-BFCD-4A08-814F-BA712BD17B43}"/>
    <cellStyle name="Comma 5" xfId="63" xr:uid="{095B24A4-A471-4CCA-9AFC-7945962EFB19}"/>
    <cellStyle name="Comma 6" xfId="82" xr:uid="{41EBC237-82DE-43B8-87CD-E804D912032A}"/>
    <cellStyle name="Currency" xfId="2" builtinId="4"/>
    <cellStyle name="Currency 2" xfId="6" xr:uid="{C88967A6-FAE3-467C-8061-AF7BD3EC202C}"/>
    <cellStyle name="Currency 2 2" xfId="58" xr:uid="{37E3CB9C-99F4-4216-ADF2-EEF4EFFF4694}"/>
    <cellStyle name="Currency 3" xfId="61" xr:uid="{A849144C-DF02-428A-9452-3A714E40B50B}"/>
    <cellStyle name="Currency 4" xfId="64" xr:uid="{1F6723EC-B493-4CD0-BD6E-FC9A988C4009}"/>
    <cellStyle name="Currency 5" xfId="66" xr:uid="{841CB909-F230-4040-B697-B1262EB09BAF}"/>
    <cellStyle name="Currency 6" xfId="72" xr:uid="{939DBF60-6BB0-4F8A-9DDF-711767CD53C3}"/>
    <cellStyle name="Explanatory Text" xfId="24"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 builtinId="8"/>
    <cellStyle name="Input" xfId="18" builtinId="20" customBuiltin="1"/>
    <cellStyle name="Linked Cell" xfId="21" builtinId="24" customBuiltin="1"/>
    <cellStyle name="Neutral 2" xfId="47" xr:uid="{BE386268-F1BC-40FF-B18E-E54A7A3A1C9A}"/>
    <cellStyle name="Normal" xfId="0" builtinId="0"/>
    <cellStyle name="Normal 10" xfId="71" xr:uid="{1B495668-8150-4850-A4AD-D942DDDADFBE}"/>
    <cellStyle name="Normal 11" xfId="74" xr:uid="{4414C697-9BE0-4A6E-A4B8-817454E4460E}"/>
    <cellStyle name="Normal 12" xfId="80" xr:uid="{867B2C5B-B466-41C9-A216-3F32BD744BC2}"/>
    <cellStyle name="Normal 13" xfId="81" xr:uid="{AE550FF8-4B09-4E3F-9156-D2A1ACC07EE7}"/>
    <cellStyle name="Normal 14" xfId="84" xr:uid="{18F9706B-FC2B-440C-B7AB-6489E3803235}"/>
    <cellStyle name="Normal 2" xfId="7" xr:uid="{3B8304E6-B120-40C4-989D-B3A7FCC7F512}"/>
    <cellStyle name="Normal 2 2" xfId="5" xr:uid="{D578D802-9E50-4108-86B1-6834B65FCFB6}"/>
    <cellStyle name="Normal 2 2 2" xfId="9" xr:uid="{69EF7FBA-655C-48C5-9A5A-2968E16AD0A8}"/>
    <cellStyle name="Normal 2 2 2 2" xfId="73" xr:uid="{F0AC8C95-1971-473B-A776-D24E3EBA63DB}"/>
    <cellStyle name="Normal 2 2 2 3" xfId="75" xr:uid="{05F6D1B5-961D-4986-93A3-518238FF9149}"/>
    <cellStyle name="Normal 2 2 2 3 2" xfId="76" xr:uid="{13DFBEEF-BF9C-43D4-AE22-4ABD262D5E03}"/>
    <cellStyle name="Normal 2 2 2 3 3" xfId="78" xr:uid="{40F7BC2B-968C-4344-A0A0-7EFC840493B5}"/>
    <cellStyle name="Normal 2 2 2 4" xfId="77" xr:uid="{7E2E7561-E3F3-44B1-B0F4-11EA5149B08F}"/>
    <cellStyle name="Normal 2 2 2 4 2" xfId="79" xr:uid="{C1A3DDD6-53B5-4943-9380-9EB013CC1AD2}"/>
    <cellStyle name="Normal 2 2 3" xfId="46" xr:uid="{A8E978D4-A835-4162-802A-43C1DAECFD23}"/>
    <cellStyle name="Normal 2 3" xfId="45" xr:uid="{ACCEE769-E16B-49B5-A241-CE24297DE1C2}"/>
    <cellStyle name="Normal 2 4" xfId="83" xr:uid="{E991E940-C8F1-4C76-92BD-B3552C69876C}"/>
    <cellStyle name="Normal 3" xfId="10" xr:uid="{684C44D6-30D1-4505-BA98-5B624689D5C4}"/>
    <cellStyle name="Normal 4" xfId="54" xr:uid="{61FF3F86-9144-420E-ACD2-4E20A2F2C63C}"/>
    <cellStyle name="Normal 4 2" xfId="62" xr:uid="{14F6C2C1-6A4C-4A8C-89C1-493C3D79C3DE}"/>
    <cellStyle name="Normal 4 3" xfId="65" xr:uid="{D94744D0-8B22-434B-BF5C-A9A02CA40881}"/>
    <cellStyle name="Normal 5" xfId="67" xr:uid="{AD166151-9CD1-4EAA-8DA7-20A6E6FF9ECD}"/>
    <cellStyle name="Normal 6" xfId="68" xr:uid="{ED37DAEE-4799-40A9-B689-8B76F926854F}"/>
    <cellStyle name="Normal 7" xfId="8" xr:uid="{142AE15D-9034-4EB6-B298-09A48DD7850F}"/>
    <cellStyle name="Normal 8" xfId="69" xr:uid="{339C4961-C31A-4D0E-9CCD-18FF17BB8DC6}"/>
    <cellStyle name="Normal 9" xfId="70" xr:uid="{557907E2-EBE2-456C-BDCC-33B9A762CD72}"/>
    <cellStyle name="Note 2" xfId="56" xr:uid="{E91FB891-EAC5-4A0F-A177-4A1E89B1CE71}"/>
    <cellStyle name="Output" xfId="19" builtinId="21" customBuiltin="1"/>
    <cellStyle name="Title" xfId="11" builtinId="15" customBuiltin="1"/>
    <cellStyle name="Title 2" xfId="59" xr:uid="{126E5CD9-F73E-4371-8D63-EAEF9819761F}"/>
    <cellStyle name="Title 3" xfId="55" xr:uid="{D4BD8A7D-4672-4893-8752-C025B8B6D5DD}"/>
    <cellStyle name="Total" xfId="25" builtinId="25" customBuiltin="1"/>
    <cellStyle name="Warning Text" xfId="23" builtinId="11" customBuiltin="1"/>
  </cellStyles>
  <dxfs count="67">
    <dxf>
      <font>
        <color theme="1" tint="0.499984740745262"/>
      </font>
      <fill>
        <patternFill>
          <bgColor rgb="FFCCFFCC"/>
        </patternFill>
      </fill>
    </dxf>
    <dxf>
      <font>
        <color theme="1" tint="0.499984740745262"/>
      </font>
      <fill>
        <patternFill>
          <bgColor rgb="FFCCFFCC"/>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numFmt numFmtId="2" formatCode="0.00"/>
      <fill>
        <patternFill patternType="solid">
          <fgColor indexed="64"/>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5" formatCode="_-* #,##0.00_-;\-* #,##0.00_-;_-* &quot;-&quot;??_-;_-@_-"/>
    </dxf>
    <dxf>
      <fill>
        <patternFill patternType="none">
          <bgColor auto="1"/>
        </patternFill>
      </fill>
    </dxf>
    <dxf>
      <numFmt numFmtId="35" formatCode="_-* #,##0.00_-;\-* #,##0.00_-;_-* &quot;-&quot;??_-;_-@_-"/>
    </dxf>
    <dxf>
      <numFmt numFmtId="35" formatCode="_-* #,##0.00_-;\-* #,##0.00_-;_-* &quot;-&quot;??_-;_-@_-"/>
    </dxf>
    <dxf>
      <fill>
        <patternFill>
          <bgColor theme="5" tint="0.39997558519241921"/>
        </patternFill>
      </fill>
    </dxf>
    <dxf>
      <fill>
        <patternFill>
          <bgColor theme="5" tint="0.39997558519241921"/>
        </patternFill>
      </fill>
    </dxf>
    <dxf>
      <fill>
        <patternFill>
          <bgColor theme="5" tint="0.39997558519241921"/>
        </patternFill>
      </fill>
    </dxf>
    <dxf>
      <fill>
        <patternFill>
          <bgColor theme="5" tint="0.39997558519241921"/>
        </patternFill>
      </fill>
    </dxf>
    <dxf>
      <fill>
        <patternFill>
          <bgColor theme="5" tint="0.39997558519241921"/>
        </patternFill>
      </fill>
    </dxf>
    <dxf>
      <fill>
        <patternFill>
          <bgColor theme="5" tint="0.39997558519241921"/>
        </patternFill>
      </fill>
    </dxf>
    <dxf>
      <fill>
        <patternFill>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008000"/>
      <color rgb="FFFF9900"/>
      <color rgb="FF00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pivotCacheDefinition" Target="pivotCache/pivotCacheDefinition4.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pivotCacheDefinition" Target="pivotCache/pivotCacheDefinition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ivotCacheDefinition" Target="pivotCache/pivotCacheDefinition5.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pivotCacheDefinition" Target="pivotCache/pivotCacheDefinition3.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pivotCacheDefinition" Target="pivotCache/pivotCacheDefinition1.xml"/><Relationship Id="rId65"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31</xdr:row>
      <xdr:rowOff>66674</xdr:rowOff>
    </xdr:from>
    <xdr:to>
      <xdr:col>2</xdr:col>
      <xdr:colOff>790196</xdr:colOff>
      <xdr:row>56</xdr:row>
      <xdr:rowOff>69849</xdr:rowOff>
    </xdr:to>
    <xdr:pic>
      <xdr:nvPicPr>
        <xdr:cNvPr id="2" name="Picture 1">
          <a:extLst>
            <a:ext uri="{FF2B5EF4-FFF2-40B4-BE49-F238E27FC236}">
              <a16:creationId xmlns:a16="http://schemas.microsoft.com/office/drawing/2014/main" id="{885B232B-213D-462A-BDC7-9E81F5AB6EE4}"/>
            </a:ext>
          </a:extLst>
        </xdr:cNvPr>
        <xdr:cNvPicPr>
          <a:picLocks noChangeAspect="1"/>
        </xdr:cNvPicPr>
      </xdr:nvPicPr>
      <xdr:blipFill>
        <a:blip xmlns:r="http://schemas.openxmlformats.org/officeDocument/2006/relationships" r:embed="rId1"/>
        <a:stretch>
          <a:fillRect/>
        </a:stretch>
      </xdr:blipFill>
      <xdr:spPr>
        <a:xfrm>
          <a:off x="171451" y="7058024"/>
          <a:ext cx="3130170" cy="242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0</xdr:col>
      <xdr:colOff>898525</xdr:colOff>
      <xdr:row>6</xdr:row>
      <xdr:rowOff>65617</xdr:rowOff>
    </xdr:to>
    <xdr:pic>
      <xdr:nvPicPr>
        <xdr:cNvPr id="2" name="Picture 1">
          <a:extLst>
            <a:ext uri="{FF2B5EF4-FFF2-40B4-BE49-F238E27FC236}">
              <a16:creationId xmlns:a16="http://schemas.microsoft.com/office/drawing/2014/main" id="{0A9C1274-A73E-4119-833B-0233A471AD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2875"/>
          <a:ext cx="889000" cy="89429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0</xdr:col>
      <xdr:colOff>898525</xdr:colOff>
      <xdr:row>6</xdr:row>
      <xdr:rowOff>65617</xdr:rowOff>
    </xdr:to>
    <xdr:pic>
      <xdr:nvPicPr>
        <xdr:cNvPr id="2" name="Picture 1">
          <a:extLst>
            <a:ext uri="{FF2B5EF4-FFF2-40B4-BE49-F238E27FC236}">
              <a16:creationId xmlns:a16="http://schemas.microsoft.com/office/drawing/2014/main" id="{ABC5C583-52AE-4E93-9683-F5FED74A2F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2875"/>
          <a:ext cx="889000" cy="89429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12</xdr:col>
      <xdr:colOff>181427</xdr:colOff>
      <xdr:row>41</xdr:row>
      <xdr:rowOff>149896</xdr:rowOff>
    </xdr:to>
    <xdr:pic>
      <xdr:nvPicPr>
        <xdr:cNvPr id="2" name="Picture 1">
          <a:extLst>
            <a:ext uri="{FF2B5EF4-FFF2-40B4-BE49-F238E27FC236}">
              <a16:creationId xmlns:a16="http://schemas.microsoft.com/office/drawing/2014/main" id="{306CBFEE-37C5-4981-8633-5299B8607BEC}"/>
            </a:ext>
          </a:extLst>
        </xdr:cNvPr>
        <xdr:cNvPicPr>
          <a:picLocks noChangeAspect="1"/>
        </xdr:cNvPicPr>
      </xdr:nvPicPr>
      <xdr:blipFill>
        <a:blip xmlns:r="http://schemas.openxmlformats.org/officeDocument/2006/relationships" r:embed="rId1"/>
        <a:stretch>
          <a:fillRect/>
        </a:stretch>
      </xdr:blipFill>
      <xdr:spPr>
        <a:xfrm>
          <a:off x="0" y="2628900"/>
          <a:ext cx="11619047" cy="47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28</xdr:row>
      <xdr:rowOff>57150</xdr:rowOff>
    </xdr:from>
    <xdr:to>
      <xdr:col>14</xdr:col>
      <xdr:colOff>361950</xdr:colOff>
      <xdr:row>35</xdr:row>
      <xdr:rowOff>114300</xdr:rowOff>
    </xdr:to>
    <xdr:sp macro="" textlink="">
      <xdr:nvSpPr>
        <xdr:cNvPr id="2" name="Right Brace 1">
          <a:extLst>
            <a:ext uri="{FF2B5EF4-FFF2-40B4-BE49-F238E27FC236}">
              <a16:creationId xmlns:a16="http://schemas.microsoft.com/office/drawing/2014/main" id="{D526D45E-525F-4AD6-9EC5-12138F91ECE5}"/>
            </a:ext>
          </a:extLst>
        </xdr:cNvPr>
        <xdr:cNvSpPr/>
      </xdr:nvSpPr>
      <xdr:spPr>
        <a:xfrm>
          <a:off x="13182600" y="5095875"/>
          <a:ext cx="209550" cy="1190625"/>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NZ"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4A2B5113-1E39-4FD7-A9BF-DDDAADBBFB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9DC2E73C-7DF5-432E-BBDD-465A02234D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62655D2A-1B80-4D35-8FD4-1146553B36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6ECC48C0-ABF0-4874-B979-CAF84C59F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19050</xdr:rowOff>
    </xdr:from>
    <xdr:to>
      <xdr:col>12</xdr:col>
      <xdr:colOff>322899</xdr:colOff>
      <xdr:row>17</xdr:row>
      <xdr:rowOff>9263</xdr:rowOff>
    </xdr:to>
    <xdr:pic>
      <xdr:nvPicPr>
        <xdr:cNvPr id="2" name="Picture 1">
          <a:extLst>
            <a:ext uri="{FF2B5EF4-FFF2-40B4-BE49-F238E27FC236}">
              <a16:creationId xmlns:a16="http://schemas.microsoft.com/office/drawing/2014/main" id="{23A8E7E0-985F-40E7-B21D-AEF89915BD9C}"/>
            </a:ext>
          </a:extLst>
        </xdr:cNvPr>
        <xdr:cNvPicPr>
          <a:picLocks noChangeAspect="1"/>
        </xdr:cNvPicPr>
      </xdr:nvPicPr>
      <xdr:blipFill>
        <a:blip xmlns:r="http://schemas.openxmlformats.org/officeDocument/2006/relationships" r:embed="rId1"/>
        <a:stretch>
          <a:fillRect/>
        </a:stretch>
      </xdr:blipFill>
      <xdr:spPr>
        <a:xfrm>
          <a:off x="28575" y="666750"/>
          <a:ext cx="7609524" cy="2095238"/>
        </a:xfrm>
        <a:prstGeom prst="rect">
          <a:avLst/>
        </a:prstGeom>
      </xdr:spPr>
    </xdr:pic>
    <xdr:clientData/>
  </xdr:twoCellAnchor>
  <xdr:twoCellAnchor editAs="oneCell">
    <xdr:from>
      <xdr:col>0</xdr:col>
      <xdr:colOff>19050</xdr:colOff>
      <xdr:row>16</xdr:row>
      <xdr:rowOff>66675</xdr:rowOff>
    </xdr:from>
    <xdr:to>
      <xdr:col>12</xdr:col>
      <xdr:colOff>247650</xdr:colOff>
      <xdr:row>53</xdr:row>
      <xdr:rowOff>123069</xdr:rowOff>
    </xdr:to>
    <xdr:pic>
      <xdr:nvPicPr>
        <xdr:cNvPr id="3" name="Picture 2">
          <a:extLst>
            <a:ext uri="{FF2B5EF4-FFF2-40B4-BE49-F238E27FC236}">
              <a16:creationId xmlns:a16="http://schemas.microsoft.com/office/drawing/2014/main" id="{463467B2-9212-4B24-8371-84B9F5FD73DE}"/>
            </a:ext>
          </a:extLst>
        </xdr:cNvPr>
        <xdr:cNvPicPr>
          <a:picLocks noChangeAspect="1"/>
        </xdr:cNvPicPr>
      </xdr:nvPicPr>
      <xdr:blipFill>
        <a:blip xmlns:r="http://schemas.openxmlformats.org/officeDocument/2006/relationships" r:embed="rId2"/>
        <a:stretch>
          <a:fillRect/>
        </a:stretch>
      </xdr:blipFill>
      <xdr:spPr>
        <a:xfrm>
          <a:off x="19050" y="2657475"/>
          <a:ext cx="7543800" cy="6047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3</xdr:row>
      <xdr:rowOff>47625</xdr:rowOff>
    </xdr:from>
    <xdr:to>
      <xdr:col>9</xdr:col>
      <xdr:colOff>494557</xdr:colOff>
      <xdr:row>35</xdr:row>
      <xdr:rowOff>46977</xdr:rowOff>
    </xdr:to>
    <xdr:pic>
      <xdr:nvPicPr>
        <xdr:cNvPr id="2" name="Picture 1">
          <a:extLst>
            <a:ext uri="{FF2B5EF4-FFF2-40B4-BE49-F238E27FC236}">
              <a16:creationId xmlns:a16="http://schemas.microsoft.com/office/drawing/2014/main" id="{3B0D75FE-B6F2-42EE-BEA7-599DD734E3AD}"/>
            </a:ext>
          </a:extLst>
        </xdr:cNvPr>
        <xdr:cNvPicPr>
          <a:picLocks noChangeAspect="1"/>
        </xdr:cNvPicPr>
      </xdr:nvPicPr>
      <xdr:blipFill>
        <a:blip xmlns:r="http://schemas.openxmlformats.org/officeDocument/2006/relationships" r:embed="rId1"/>
        <a:stretch>
          <a:fillRect/>
        </a:stretch>
      </xdr:blipFill>
      <xdr:spPr>
        <a:xfrm>
          <a:off x="38100" y="533400"/>
          <a:ext cx="5942857" cy="5180952"/>
        </a:xfrm>
        <a:prstGeom prst="rect">
          <a:avLst/>
        </a:prstGeom>
      </xdr:spPr>
    </xdr:pic>
    <xdr:clientData/>
  </xdr:twoCellAnchor>
  <xdr:twoCellAnchor editAs="oneCell">
    <xdr:from>
      <xdr:col>0</xdr:col>
      <xdr:colOff>19051</xdr:colOff>
      <xdr:row>35</xdr:row>
      <xdr:rowOff>19050</xdr:rowOff>
    </xdr:from>
    <xdr:to>
      <xdr:col>9</xdr:col>
      <xdr:colOff>533400</xdr:colOff>
      <xdr:row>43</xdr:row>
      <xdr:rowOff>123650</xdr:rowOff>
    </xdr:to>
    <xdr:pic>
      <xdr:nvPicPr>
        <xdr:cNvPr id="4" name="Picture 3">
          <a:extLst>
            <a:ext uri="{FF2B5EF4-FFF2-40B4-BE49-F238E27FC236}">
              <a16:creationId xmlns:a16="http://schemas.microsoft.com/office/drawing/2014/main" id="{F9C3FF1D-E8F4-4B98-988B-FD912D33C335}"/>
            </a:ext>
          </a:extLst>
        </xdr:cNvPr>
        <xdr:cNvPicPr>
          <a:picLocks noChangeAspect="1"/>
        </xdr:cNvPicPr>
      </xdr:nvPicPr>
      <xdr:blipFill>
        <a:blip xmlns:r="http://schemas.openxmlformats.org/officeDocument/2006/relationships" r:embed="rId2"/>
        <a:stretch>
          <a:fillRect/>
        </a:stretch>
      </xdr:blipFill>
      <xdr:spPr>
        <a:xfrm>
          <a:off x="19051" y="5686425"/>
          <a:ext cx="6000749" cy="14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8</xdr:col>
      <xdr:colOff>608917</xdr:colOff>
      <xdr:row>37</xdr:row>
      <xdr:rowOff>94551</xdr:rowOff>
    </xdr:to>
    <xdr:pic>
      <xdr:nvPicPr>
        <xdr:cNvPr id="2" name="Picture 1">
          <a:extLst>
            <a:ext uri="{FF2B5EF4-FFF2-40B4-BE49-F238E27FC236}">
              <a16:creationId xmlns:a16="http://schemas.microsoft.com/office/drawing/2014/main" id="{EDDAEED6-D6F8-4F36-BC75-6B1D41162948}"/>
            </a:ext>
          </a:extLst>
        </xdr:cNvPr>
        <xdr:cNvPicPr>
          <a:picLocks noChangeAspect="1"/>
        </xdr:cNvPicPr>
      </xdr:nvPicPr>
      <xdr:blipFill>
        <a:blip xmlns:r="http://schemas.openxmlformats.org/officeDocument/2006/relationships" r:embed="rId1"/>
        <a:stretch>
          <a:fillRect/>
        </a:stretch>
      </xdr:blipFill>
      <xdr:spPr>
        <a:xfrm>
          <a:off x="19050" y="495300"/>
          <a:ext cx="5466667" cy="55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E1A44743-F85A-425A-BC62-354652D00D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EA6510BF-FEE8-4682-9455-DEB5B2B49B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9</xdr:col>
      <xdr:colOff>103587</xdr:colOff>
      <xdr:row>92</xdr:row>
      <xdr:rowOff>65675</xdr:rowOff>
    </xdr:to>
    <xdr:pic>
      <xdr:nvPicPr>
        <xdr:cNvPr id="2" name="Picture 1">
          <a:extLst>
            <a:ext uri="{FF2B5EF4-FFF2-40B4-BE49-F238E27FC236}">
              <a16:creationId xmlns:a16="http://schemas.microsoft.com/office/drawing/2014/main" id="{080F2B09-473D-4298-BADE-072F7662783E}"/>
            </a:ext>
          </a:extLst>
        </xdr:cNvPr>
        <xdr:cNvPicPr>
          <a:picLocks noChangeAspect="1"/>
        </xdr:cNvPicPr>
      </xdr:nvPicPr>
      <xdr:blipFill>
        <a:blip xmlns:r="http://schemas.openxmlformats.org/officeDocument/2006/relationships" r:embed="rId1"/>
        <a:stretch>
          <a:fillRect/>
        </a:stretch>
      </xdr:blipFill>
      <xdr:spPr>
        <a:xfrm>
          <a:off x="0" y="6962775"/>
          <a:ext cx="9504762" cy="800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16</xdr:col>
      <xdr:colOff>47625</xdr:colOff>
      <xdr:row>9</xdr:row>
      <xdr:rowOff>111604</xdr:rowOff>
    </xdr:to>
    <xdr:pic>
      <xdr:nvPicPr>
        <xdr:cNvPr id="6" name="Picture 5">
          <a:extLst>
            <a:ext uri="{FF2B5EF4-FFF2-40B4-BE49-F238E27FC236}">
              <a16:creationId xmlns:a16="http://schemas.microsoft.com/office/drawing/2014/main" id="{4A91FF14-9E8E-4A28-A04A-FFE05B3D2748}"/>
            </a:ext>
          </a:extLst>
        </xdr:cNvPr>
        <xdr:cNvPicPr>
          <a:picLocks noChangeAspect="1"/>
        </xdr:cNvPicPr>
      </xdr:nvPicPr>
      <xdr:blipFill>
        <a:blip xmlns:r="http://schemas.openxmlformats.org/officeDocument/2006/relationships" r:embed="rId1"/>
        <a:stretch>
          <a:fillRect/>
        </a:stretch>
      </xdr:blipFill>
      <xdr:spPr>
        <a:xfrm>
          <a:off x="123825" y="1143000"/>
          <a:ext cx="9677400" cy="502129"/>
        </a:xfrm>
        <a:prstGeom prst="rect">
          <a:avLst/>
        </a:prstGeom>
      </xdr:spPr>
    </xdr:pic>
    <xdr:clientData/>
  </xdr:twoCellAnchor>
  <xdr:twoCellAnchor editAs="oneCell">
    <xdr:from>
      <xdr:col>0</xdr:col>
      <xdr:colOff>66675</xdr:colOff>
      <xdr:row>13</xdr:row>
      <xdr:rowOff>19050</xdr:rowOff>
    </xdr:from>
    <xdr:to>
      <xdr:col>15</xdr:col>
      <xdr:colOff>571500</xdr:colOff>
      <xdr:row>16</xdr:row>
      <xdr:rowOff>9667</xdr:rowOff>
    </xdr:to>
    <xdr:pic>
      <xdr:nvPicPr>
        <xdr:cNvPr id="7" name="Picture 6">
          <a:extLst>
            <a:ext uri="{FF2B5EF4-FFF2-40B4-BE49-F238E27FC236}">
              <a16:creationId xmlns:a16="http://schemas.microsoft.com/office/drawing/2014/main" id="{E3EBD39D-C80C-49ED-87AF-E3804FEE90A8}"/>
            </a:ext>
          </a:extLst>
        </xdr:cNvPr>
        <xdr:cNvPicPr>
          <a:picLocks noChangeAspect="1"/>
        </xdr:cNvPicPr>
      </xdr:nvPicPr>
      <xdr:blipFill>
        <a:blip xmlns:r="http://schemas.openxmlformats.org/officeDocument/2006/relationships" r:embed="rId2"/>
        <a:stretch>
          <a:fillRect/>
        </a:stretch>
      </xdr:blipFill>
      <xdr:spPr>
        <a:xfrm>
          <a:off x="66675" y="2200275"/>
          <a:ext cx="9648825" cy="476392"/>
        </a:xfrm>
        <a:prstGeom prst="rect">
          <a:avLst/>
        </a:prstGeom>
      </xdr:spPr>
    </xdr:pic>
    <xdr:clientData/>
  </xdr:twoCellAnchor>
  <xdr:twoCellAnchor editAs="oneCell">
    <xdr:from>
      <xdr:col>0</xdr:col>
      <xdr:colOff>0</xdr:colOff>
      <xdr:row>20</xdr:row>
      <xdr:rowOff>0</xdr:rowOff>
    </xdr:from>
    <xdr:to>
      <xdr:col>16</xdr:col>
      <xdr:colOff>0</xdr:colOff>
      <xdr:row>23</xdr:row>
      <xdr:rowOff>59934</xdr:rowOff>
    </xdr:to>
    <xdr:pic>
      <xdr:nvPicPr>
        <xdr:cNvPr id="8" name="Picture 7">
          <a:extLst>
            <a:ext uri="{FF2B5EF4-FFF2-40B4-BE49-F238E27FC236}">
              <a16:creationId xmlns:a16="http://schemas.microsoft.com/office/drawing/2014/main" id="{0FFBEB55-2B19-4933-AB42-79A11CD2487E}"/>
            </a:ext>
          </a:extLst>
        </xdr:cNvPr>
        <xdr:cNvPicPr>
          <a:picLocks noChangeAspect="1"/>
        </xdr:cNvPicPr>
      </xdr:nvPicPr>
      <xdr:blipFill>
        <a:blip xmlns:r="http://schemas.openxmlformats.org/officeDocument/2006/relationships" r:embed="rId3"/>
        <a:stretch>
          <a:fillRect/>
        </a:stretch>
      </xdr:blipFill>
      <xdr:spPr>
        <a:xfrm>
          <a:off x="0" y="3314700"/>
          <a:ext cx="9753600" cy="545709"/>
        </a:xfrm>
        <a:prstGeom prst="rect">
          <a:avLst/>
        </a:prstGeom>
      </xdr:spPr>
    </xdr:pic>
    <xdr:clientData/>
  </xdr:twoCellAnchor>
  <xdr:twoCellAnchor editAs="oneCell">
    <xdr:from>
      <xdr:col>0</xdr:col>
      <xdr:colOff>0</xdr:colOff>
      <xdr:row>29</xdr:row>
      <xdr:rowOff>0</xdr:rowOff>
    </xdr:from>
    <xdr:to>
      <xdr:col>11</xdr:col>
      <xdr:colOff>12493</xdr:colOff>
      <xdr:row>31</xdr:row>
      <xdr:rowOff>64720</xdr:rowOff>
    </xdr:to>
    <xdr:pic>
      <xdr:nvPicPr>
        <xdr:cNvPr id="2" name="Picture 1">
          <a:extLst>
            <a:ext uri="{FF2B5EF4-FFF2-40B4-BE49-F238E27FC236}">
              <a16:creationId xmlns:a16="http://schemas.microsoft.com/office/drawing/2014/main" id="{027A5DF3-C8A2-43AA-B800-C9DE280A5E27}"/>
            </a:ext>
          </a:extLst>
        </xdr:cNvPr>
        <xdr:cNvPicPr>
          <a:picLocks noChangeAspect="1"/>
        </xdr:cNvPicPr>
      </xdr:nvPicPr>
      <xdr:blipFill>
        <a:blip xmlns:r="http://schemas.openxmlformats.org/officeDocument/2006/relationships" r:embed="rId4"/>
        <a:stretch>
          <a:fillRect/>
        </a:stretch>
      </xdr:blipFill>
      <xdr:spPr>
        <a:xfrm>
          <a:off x="0" y="4922520"/>
          <a:ext cx="6733333" cy="4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D0536E8F-67D7-44D6-9660-AE5E2F22D4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1C07E822-352B-46A8-9F14-5C2AF7A3357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437FAC81-E884-4335-9818-2AF73F5535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twoCellAnchor editAs="oneCell">
    <xdr:from>
      <xdr:col>7</xdr:col>
      <xdr:colOff>66675</xdr:colOff>
      <xdr:row>0</xdr:row>
      <xdr:rowOff>0</xdr:rowOff>
    </xdr:from>
    <xdr:to>
      <xdr:col>20</xdr:col>
      <xdr:colOff>608412</xdr:colOff>
      <xdr:row>40</xdr:row>
      <xdr:rowOff>132350</xdr:rowOff>
    </xdr:to>
    <xdr:pic>
      <xdr:nvPicPr>
        <xdr:cNvPr id="3" name="Picture 2">
          <a:extLst>
            <a:ext uri="{FF2B5EF4-FFF2-40B4-BE49-F238E27FC236}">
              <a16:creationId xmlns:a16="http://schemas.microsoft.com/office/drawing/2014/main" id="{1AE0DC26-F06B-45C4-A467-1BB143D17C32}"/>
            </a:ext>
          </a:extLst>
        </xdr:cNvPr>
        <xdr:cNvPicPr>
          <a:picLocks noChangeAspect="1"/>
        </xdr:cNvPicPr>
      </xdr:nvPicPr>
      <xdr:blipFill>
        <a:blip xmlns:r="http://schemas.openxmlformats.org/officeDocument/2006/relationships" r:embed="rId2"/>
        <a:stretch>
          <a:fillRect/>
        </a:stretch>
      </xdr:blipFill>
      <xdr:spPr>
        <a:xfrm>
          <a:off x="10315575" y="0"/>
          <a:ext cx="9504762" cy="800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970280</xdr:colOff>
      <xdr:row>6</xdr:row>
      <xdr:rowOff>1580</xdr:rowOff>
    </xdr:to>
    <xdr:pic>
      <xdr:nvPicPr>
        <xdr:cNvPr id="2" name="Picture 1">
          <a:extLst>
            <a:ext uri="{FF2B5EF4-FFF2-40B4-BE49-F238E27FC236}">
              <a16:creationId xmlns:a16="http://schemas.microsoft.com/office/drawing/2014/main" id="{9A77518B-A48B-47CE-A124-5393CB3FE2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981710</xdr:colOff>
      <xdr:row>6</xdr:row>
      <xdr:rowOff>1580</xdr:rowOff>
    </xdr:to>
    <xdr:pic>
      <xdr:nvPicPr>
        <xdr:cNvPr id="2" name="Picture 1">
          <a:extLst>
            <a:ext uri="{FF2B5EF4-FFF2-40B4-BE49-F238E27FC236}">
              <a16:creationId xmlns:a16="http://schemas.microsoft.com/office/drawing/2014/main" id="{7717827E-2E53-4A8C-9B5F-3EC9FB3AC6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710" cy="1144580"/>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3767.375893171295" createdVersion="6" refreshedVersion="6" minRefreshableVersion="3" recordCount="43" xr:uid="{B8E94A36-9C07-4504-8B05-7ECC81D4E0F3}">
  <cacheSource type="worksheet">
    <worksheetSource ref="A1:N44" sheet="Orbit May-Jun 19"/>
  </cacheSource>
  <cacheFields count="14">
    <cacheField name="A/C Code" numFmtId="0">
      <sharedItems containsString="0" containsBlank="1" containsNumber="1" containsInteger="1" minValue="3605" maxValue="3705" count="6">
        <n v="3605"/>
        <m/>
        <n v="3610"/>
        <n v="3620"/>
        <n v="3635"/>
        <n v="3705"/>
      </sharedItems>
    </cacheField>
    <cacheField name="Domestic_FD" numFmtId="0">
      <sharedItems containsBlank="1"/>
    </cacheField>
    <cacheField name="VendorType" numFmtId="0">
      <sharedItems containsBlank="1"/>
    </cacheField>
    <cacheField name="OtherProd_FD" numFmtId="0">
      <sharedItems containsBlank="1"/>
    </cacheField>
    <cacheField name="Cost Centre" numFmtId="0">
      <sharedItems containsString="0" containsBlank="1" containsNumber="1" containsInteger="1" minValue="100" maxValue="440"/>
    </cacheField>
    <cacheField name="Project" numFmtId="0">
      <sharedItems containsBlank="1"/>
    </cacheField>
    <cacheField name="Region" numFmtId="0">
      <sharedItems containsBlank="1"/>
    </cacheField>
    <cacheField name="Approver" numFmtId="0">
      <sharedItems containsBlank="1"/>
    </cacheField>
    <cacheField name="Departure Date" numFmtId="14">
      <sharedItems containsNonDate="0" containsDate="1" containsString="0" containsBlank="1" minDate="2019-03-20T00:00:00" maxDate="2019-08-07T00:00:00" count="7">
        <d v="2019-05-05T00:00:00"/>
        <d v="2019-05-23T00:00:00"/>
        <d v="2019-06-04T00:00:00"/>
        <d v="2019-07-04T00:00:00"/>
        <d v="2019-08-06T00:00:00"/>
        <m/>
        <d v="2019-03-20T00:00:00"/>
      </sharedItems>
    </cacheField>
    <cacheField name="Passenger Name" numFmtId="0">
      <sharedItems containsBlank="1"/>
    </cacheField>
    <cacheField name="Reason for Travel" numFmtId="0">
      <sharedItems containsBlank="1" count="8">
        <s v="Latin America Heads Of Mission Meeting"/>
        <s v="Meetings"/>
        <s v="Attending Meetings In Auckland"/>
        <s v="Attend the 2019 Global Internship Conference in Auckland"/>
        <s v="Attend NZIEC Conference &amp; ENZ Board Meeting"/>
        <m/>
        <s v="Attend Conference And Board Meeting" u="1"/>
        <s v="Attend/address Gic Farewell Dinner" u="1"/>
      </sharedItems>
    </cacheField>
    <cacheField name="Net" numFmtId="43">
      <sharedItems containsString="0" containsBlank="1" containsNumber="1" minValue="0.5" maxValue="7332.2"/>
    </cacheField>
    <cacheField name="GST" numFmtId="43">
      <sharedItems containsString="0" containsBlank="1" containsNumber="1" minValue="0" maxValue="176.26000000000002"/>
    </cacheField>
    <cacheField name="Payable" numFmtId="43">
      <sharedItems containsString="0" containsBlank="1" containsNumber="1" minValue="0.57999999999999996" maxValue="7332.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3787.441471412036" createdVersion="6" refreshedVersion="6" minRefreshableVersion="3" recordCount="72" xr:uid="{3780987F-6E6B-4852-AD59-7F3724924F4C}">
  <cacheSource type="worksheet">
    <worksheetSource ref="A1:N88" sheet="Orbit Jul-Oct 19"/>
  </cacheSource>
  <cacheFields count="14">
    <cacheField name="A/C Code" numFmtId="0">
      <sharedItems containsSemiMixedTypes="0" containsString="0" containsNumber="1" containsInteger="1" minValue="3605" maxValue="3710" count="6">
        <n v="3605"/>
        <n v="3610"/>
        <n v="3620"/>
        <n v="3635"/>
        <n v="3705"/>
        <n v="3710"/>
      </sharedItems>
    </cacheField>
    <cacheField name="Domestic_FD" numFmtId="0">
      <sharedItems/>
    </cacheField>
    <cacheField name="VendorType" numFmtId="0">
      <sharedItems/>
    </cacheField>
    <cacheField name="OtherProd_FD" numFmtId="0">
      <sharedItems containsBlank="1"/>
    </cacheField>
    <cacheField name="Cost Centre" numFmtId="0">
      <sharedItems containsSemiMixedTypes="0" containsString="0" containsNumber="1" containsInteger="1" minValue="100" maxValue="100"/>
    </cacheField>
    <cacheField name="Project" numFmtId="0">
      <sharedItems/>
    </cacheField>
    <cacheField name="Region" numFmtId="0">
      <sharedItems/>
    </cacheField>
    <cacheField name="Approver" numFmtId="0">
      <sharedItems/>
    </cacheField>
    <cacheField name="Departure Date" numFmtId="14">
      <sharedItems containsSemiMixedTypes="0" containsNonDate="0" containsDate="1" containsString="0" minDate="2019-07-04T00:00:00" maxDate="2020-01-11T00:00:00" count="6">
        <d v="2019-07-04T00:00:00"/>
        <d v="2019-08-25T00:00:00"/>
        <d v="2019-09-16T00:00:00"/>
        <d v="2019-10-18T00:00:00"/>
        <d v="2019-10-22T00:00:00"/>
        <d v="2020-01-10T00:00:00"/>
      </sharedItems>
    </cacheField>
    <cacheField name="Passenger Name" numFmtId="0">
      <sharedItems/>
    </cacheField>
    <cacheField name="Reason for Travel" numFmtId="0">
      <sharedItems containsBlank="1" count="11">
        <s v="Attend the 2019 Global Internship Conference in Auckland"/>
        <s v="Attendance at the Destination Auckalnd Industry Leaders meeting in Auckland and meeting with universities representatives in Christchurch and Dunedin"/>
        <s v="Meetings"/>
        <s v="Wgtn"/>
        <s v="Rautaki"/>
        <s v="Attendance at the NZ Story Board meeting"/>
        <s v="Dest Alk Futures Forum Ateed"/>
        <s v="Conference"/>
        <m u="1"/>
        <s v="Various Meetings" u="1"/>
        <s v="Attending Meetings" u="1"/>
      </sharedItems>
    </cacheField>
    <cacheField name="Net" numFmtId="0">
      <sharedItems containsSemiMixedTypes="0" containsString="0" containsNumber="1" minValue="-1172.1099999999999" maxValue="9121.9"/>
    </cacheField>
    <cacheField name="GST" numFmtId="0">
      <sharedItems containsSemiMixedTypes="0" containsString="0" containsNumber="1" minValue="-68.819999999999993" maxValue="156.76"/>
    </cacheField>
    <cacheField name="Payable" numFmtId="0">
      <sharedItems containsSemiMixedTypes="0" containsString="0" containsNumber="1" minValue="-1172.1099999999999" maxValue="912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3927.654298379632" createdVersion="6" refreshedVersion="6" minRefreshableVersion="3" recordCount="20" xr:uid="{FDCDA909-78A7-4E22-AC54-1A88871584D9}">
  <cacheSource type="worksheet">
    <worksheetSource ref="A1:N30" sheet="Orbit Nov-Mar 20"/>
  </cacheSource>
  <cacheFields count="14">
    <cacheField name="A/C Code" numFmtId="0">
      <sharedItems containsSemiMixedTypes="0" containsString="0" containsNumber="1" containsInteger="1" minValue="3605" maxValue="3705" count="4">
        <n v="3605"/>
        <n v="3610"/>
        <n v="3635"/>
        <n v="3705"/>
      </sharedItems>
    </cacheField>
    <cacheField name="Domestic_FD" numFmtId="0">
      <sharedItems/>
    </cacheField>
    <cacheField name="VendorType" numFmtId="0">
      <sharedItems/>
    </cacheField>
    <cacheField name="OtherProd_FD" numFmtId="0">
      <sharedItems containsBlank="1"/>
    </cacheField>
    <cacheField name="Cost Centre" numFmtId="0">
      <sharedItems containsSemiMixedTypes="0" containsString="0" containsNumber="1" containsInteger="1" minValue="100" maxValue="100"/>
    </cacheField>
    <cacheField name="Project" numFmtId="0">
      <sharedItems/>
    </cacheField>
    <cacheField name="Region" numFmtId="0">
      <sharedItems/>
    </cacheField>
    <cacheField name="Approver" numFmtId="0">
      <sharedItems/>
    </cacheField>
    <cacheField name="Departure Date" numFmtId="14">
      <sharedItems containsSemiMixedTypes="0" containsNonDate="0" containsDate="1" containsString="0" minDate="2019-12-01T00:00:00" maxDate="2020-03-21T00:00:00" count="3">
        <d v="2019-12-01T00:00:00"/>
        <d v="2020-03-18T00:00:00"/>
        <d v="2020-03-20T00:00:00"/>
      </sharedItems>
    </cacheField>
    <cacheField name="Passenger Name" numFmtId="0">
      <sharedItems/>
    </cacheField>
    <cacheField name="Reason for Travel" numFmtId="0">
      <sharedItems count="3">
        <s v="Attend Various Meetings"/>
        <s v="Staff Meetings And Attend Germany Perception Event"/>
        <s v="Apie Vancouver 2020"/>
      </sharedItems>
    </cacheField>
    <cacheField name="Net" numFmtId="0">
      <sharedItems containsSemiMixedTypes="0" containsString="0" containsNumber="1" minValue="-550.08000000000004" maxValue="8050.03"/>
    </cacheField>
    <cacheField name="GST" numFmtId="0">
      <sharedItems containsSemiMixedTypes="0" containsString="0" containsNumber="1" minValue="-82.51" maxValue="60.43"/>
    </cacheField>
    <cacheField name="Payable" numFmtId="0">
      <sharedItems containsSemiMixedTypes="0" containsString="0" containsNumber="1" minValue="-632.59" maxValue="8050.0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4294.353298611109" createdVersion="6" refreshedVersion="6" minRefreshableVersion="3" recordCount="20" xr:uid="{64D34D67-FC94-4A77-AA45-AEAD6DB3869E}">
  <cacheSource type="worksheet">
    <worksheetSource ref="A1:L21" sheet="Orbit Dec 20-Mar 21"/>
  </cacheSource>
  <cacheFields count="12">
    <cacheField name="A/C Code" numFmtId="0">
      <sharedItems containsSemiMixedTypes="0" containsString="0" containsNumber="1" containsInteger="1" minValue="3605" maxValue="3635"/>
    </cacheField>
    <cacheField name="Domestic_FD" numFmtId="0">
      <sharedItems/>
    </cacheField>
    <cacheField name="VendorType" numFmtId="0">
      <sharedItems count="3">
        <s v="OTHER"/>
        <s v="TKT"/>
        <s v="CARCOMPANY"/>
      </sharedItems>
    </cacheField>
    <cacheField name="OtherProd_FD" numFmtId="0">
      <sharedItems containsBlank="1"/>
    </cacheField>
    <cacheField name="Cost Centre" numFmtId="0">
      <sharedItems containsSemiMixedTypes="0" containsString="0" containsNumber="1" containsInteger="1" minValue="100" maxValue="110"/>
    </cacheField>
    <cacheField name="Project" numFmtId="0">
      <sharedItems/>
    </cacheField>
    <cacheField name="Region" numFmtId="0">
      <sharedItems/>
    </cacheField>
    <cacheField name="Approver" numFmtId="0">
      <sharedItems/>
    </cacheField>
    <cacheField name="Departure Date" numFmtId="14">
      <sharedItems containsSemiMixedTypes="0" containsNonDate="0" containsDate="1" containsString="0" minDate="2020-11-11T00:00:00" maxDate="2021-03-05T00:00:00" count="4">
        <d v="2021-02-04T00:00:00"/>
        <d v="2021-02-15T00:00:00"/>
        <d v="2021-03-04T00:00:00"/>
        <d v="2020-11-11T00:00:00"/>
      </sharedItems>
    </cacheField>
    <cacheField name="Passenger Name" numFmtId="0">
      <sharedItems/>
    </cacheField>
    <cacheField name="Reason for Travel" numFmtId="0">
      <sharedItems count="4">
        <s v="To Attend Nz Story Board Meeting"/>
        <s v="Meeting"/>
        <s v="Visit To Te Pukenga And Waikato University"/>
        <s v="Jenny Dixon Farewell And Work At Akld Office"/>
      </sharedItems>
    </cacheField>
    <cacheField name="Net" numFmtId="0">
      <sharedItems containsSemiMixedTypes="0" containsString="0" containsNumber="1" minValue="-415.72" maxValue="512.2000000000000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4294.378230324073" createdVersion="6" refreshedVersion="6" minRefreshableVersion="3" recordCount="21" xr:uid="{12CCDB94-6FB6-4E78-A6F3-2133947F0411}">
  <cacheSource type="worksheet">
    <worksheetSource ref="A42:N63" sheet="Orbit Dec 20-Mar 21"/>
  </cacheSource>
  <cacheFields count="14">
    <cacheField name="A/C Code" numFmtId="0">
      <sharedItems containsSemiMixedTypes="0" containsString="0" containsNumber="1" containsInteger="1" minValue="3605" maxValue="3635"/>
    </cacheField>
    <cacheField name="Domestic_FD" numFmtId="0">
      <sharedItems/>
    </cacheField>
    <cacheField name="VendorType" numFmtId="0">
      <sharedItems count="3">
        <s v="OTHER"/>
        <s v="TKT"/>
        <s v="CARCOMPANY"/>
      </sharedItems>
    </cacheField>
    <cacheField name="OtherProd_FD" numFmtId="0">
      <sharedItems containsBlank="1"/>
    </cacheField>
    <cacheField name="Cost Centre" numFmtId="0">
      <sharedItems containsSemiMixedTypes="0" containsString="0" containsNumber="1" containsInteger="1" minValue="100" maxValue="110"/>
    </cacheField>
    <cacheField name="Project" numFmtId="0">
      <sharedItems/>
    </cacheField>
    <cacheField name="Region" numFmtId="0">
      <sharedItems/>
    </cacheField>
    <cacheField name="Approver" numFmtId="0">
      <sharedItems/>
    </cacheField>
    <cacheField name="Departure Date" numFmtId="14">
      <sharedItems containsSemiMixedTypes="0" containsNonDate="0" containsDate="1" containsString="0" minDate="2021-03-04T00:00:00" maxDate="2021-03-27T00:00:00" count="2">
        <d v="2021-03-26T00:00:00"/>
        <d v="2021-03-04T00:00:00"/>
      </sharedItems>
    </cacheField>
    <cacheField name="Passenger Name" numFmtId="0">
      <sharedItems/>
    </cacheField>
    <cacheField name="Reason for Travel" numFmtId="0">
      <sharedItems count="2">
        <s v="Meet With Providers And Stakeholders"/>
        <s v="Visit To Te Pukenga And Waikato University"/>
      </sharedItems>
    </cacheField>
    <cacheField name="Net" numFmtId="0">
      <sharedItems containsSemiMixedTypes="0" containsString="0" containsNumber="1" minValue="0.5" maxValue="727.38"/>
    </cacheField>
    <cacheField name="GST" numFmtId="0">
      <sharedItems containsSemiMixedTypes="0" containsString="0" containsNumber="1" minValue="0.08" maxValue="109.11"/>
    </cacheField>
    <cacheField name="Payable" numFmtId="0">
      <sharedItems containsSemiMixedTypes="0" containsString="0" containsNumber="1" minValue="0.57999999999999996" maxValue="836.49"/>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y Yao" refreshedDate="44530.576719328703" createdVersion="7" refreshedVersion="7" minRefreshableVersion="3" recordCount="22" xr:uid="{10BB5257-1E41-450B-8953-42C1907FA94B}">
  <cacheSource type="worksheet">
    <worksheetSource ref="A1:N23" sheet="Orbit Jul-Nov 2021"/>
  </cacheSource>
  <cacheFields count="14">
    <cacheField name="A/C Code" numFmtId="0">
      <sharedItems containsSemiMixedTypes="0" containsString="0" containsNumber="1" containsInteger="1" minValue="3605" maxValue="3635"/>
    </cacheField>
    <cacheField name="Domestic_FD" numFmtId="0">
      <sharedItems/>
    </cacheField>
    <cacheField name="VendorType" numFmtId="0">
      <sharedItems count="3">
        <s v="OTHER"/>
        <s v="TKT"/>
        <s v="CARCOMPANY"/>
      </sharedItems>
    </cacheField>
    <cacheField name="OtherProd_FD" numFmtId="0">
      <sharedItems containsBlank="1"/>
    </cacheField>
    <cacheField name="Cost Centre" numFmtId="0">
      <sharedItems containsSemiMixedTypes="0" containsString="0" containsNumber="1" containsInteger="1" minValue="100" maxValue="100"/>
    </cacheField>
    <cacheField name="Project" numFmtId="0">
      <sharedItems/>
    </cacheField>
    <cacheField name="Region" numFmtId="0">
      <sharedItems/>
    </cacheField>
    <cacheField name="Approver" numFmtId="0">
      <sharedItems/>
    </cacheField>
    <cacheField name="Departure Date" numFmtId="14">
      <sharedItems containsSemiMixedTypes="0" containsNonDate="0" containsDate="1" containsString="0" minDate="2021-07-12T00:00:00" maxDate="2021-11-10T00:00:00" count="5">
        <d v="2021-07-12T00:00:00"/>
        <d v="2021-08-25T00:00:00"/>
        <d v="2021-08-26T00:00:00"/>
        <d v="2021-09-15T00:00:00"/>
        <d v="2021-11-09T00:00:00"/>
      </sharedItems>
    </cacheField>
    <cacheField name="Passenger Name" numFmtId="0">
      <sharedItems/>
    </cacheField>
    <cacheField name="Reason for Travel" numFmtId="0">
      <sharedItems count="4">
        <s v="Attend International Education Forum In Auckland"/>
        <s v="Akl Meetings And Attend Amchan Awards"/>
        <s v="Chc Conference And Meetings In Akld"/>
        <s v="Attend Waikato Cardiff Uni Signing Ceremony"/>
      </sharedItems>
    </cacheField>
    <cacheField name="Net" numFmtId="0">
      <sharedItems containsSemiMixedTypes="0" containsString="0" containsNumber="1" minValue="-413.28" maxValue="439.43"/>
    </cacheField>
    <cacheField name="GST" numFmtId="0">
      <sharedItems containsSemiMixedTypes="0" containsString="0" containsNumber="1" minValue="-61.99" maxValue="65.91"/>
    </cacheField>
    <cacheField name="Payable" numFmtId="0">
      <sharedItems containsSemiMixedTypes="0" containsString="0" containsNumber="1" minValue="-475.27" maxValue="505.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s v="I"/>
    <s v="OTHER"/>
    <s v="Fee - Offline Longhaul"/>
    <n v="440"/>
    <s v="Admn"/>
    <s v="La00"/>
    <s v="Lisa Futsche"/>
    <x v="0"/>
    <s v="Mcpherson Grant"/>
    <x v="0"/>
    <n v="177.5"/>
    <n v="0"/>
    <n v="177.5"/>
  </r>
  <r>
    <x v="0"/>
    <s v="I"/>
    <s v="OTHER"/>
    <s v="Fee - Offline Longhaul"/>
    <n v="100"/>
    <s v="Admn"/>
    <s v="Na00"/>
    <s v="Tereska Thornton"/>
    <x v="1"/>
    <s v="Mcpherson Grant"/>
    <x v="1"/>
    <n v="133.69999999999999"/>
    <n v="0"/>
    <n v="133.69999999999999"/>
  </r>
  <r>
    <x v="0"/>
    <s v="I"/>
    <s v="OTHER"/>
    <s v="Amendment Fee - Longhaul"/>
    <n v="440"/>
    <s v="Admn"/>
    <s v="Na00"/>
    <s v="Tereska Thornton"/>
    <x v="1"/>
    <s v="Mcpherson Grant"/>
    <x v="1"/>
    <n v="50"/>
    <n v="0"/>
    <n v="50"/>
  </r>
  <r>
    <x v="0"/>
    <s v="I"/>
    <s v="OTHER"/>
    <s v="Amendment Fee - Longhaul"/>
    <n v="440"/>
    <s v="Admn"/>
    <s v="Na00"/>
    <s v="Tereska Thornton"/>
    <x v="1"/>
    <s v="Mcpherson Grant"/>
    <x v="1"/>
    <n v="50"/>
    <n v="0"/>
    <n v="50"/>
  </r>
  <r>
    <x v="0"/>
    <s v="I"/>
    <s v="OTHER"/>
    <s v="Fee - Offline Longhaul"/>
    <n v="440"/>
    <s v="Admn"/>
    <s v="Na00"/>
    <s v="Tereska Thornton"/>
    <x v="1"/>
    <s v="Mcpherson Grant"/>
    <x v="1"/>
    <n v="133.69999999999999"/>
    <n v="0"/>
    <n v="133.69999999999999"/>
  </r>
  <r>
    <x v="0"/>
    <s v="D"/>
    <s v="OTHER"/>
    <s v="Automated Line Item Fee"/>
    <n v="100"/>
    <s v="Admn"/>
    <s v="Wgtn"/>
    <s v="Libby Macdonald"/>
    <x v="2"/>
    <s v="Mcpherson Grant"/>
    <x v="2"/>
    <n v="0.5"/>
    <n v="0.08"/>
    <n v="0.57999999999999996"/>
  </r>
  <r>
    <x v="0"/>
    <s v="D"/>
    <s v="OTHER"/>
    <s v="Automated Line Item Fee"/>
    <n v="100"/>
    <s v="Admn"/>
    <s v="Wgtn"/>
    <s v="Libby Macdonald"/>
    <x v="2"/>
    <s v="Mcpherson Grant"/>
    <x v="2"/>
    <n v="0.5"/>
    <n v="0.08"/>
    <n v="0.57999999999999996"/>
  </r>
  <r>
    <x v="0"/>
    <s v="D"/>
    <s v="OTHER"/>
    <s v="Amendment Fee - Domestic"/>
    <n v="100"/>
    <s v="Admn"/>
    <s v="Wgtn"/>
    <s v="Libby Macdonald"/>
    <x v="2"/>
    <s v="Mcpherson Grant"/>
    <x v="2"/>
    <n v="10"/>
    <n v="1.5"/>
    <n v="11.5"/>
  </r>
  <r>
    <x v="0"/>
    <s v="D"/>
    <s v="OTHER"/>
    <s v="Fee - Online Domestic"/>
    <n v="100"/>
    <s v="Admn"/>
    <s v="Wgtn"/>
    <s v="Libby Macdonald"/>
    <x v="2"/>
    <s v="Mcpherson Grant"/>
    <x v="2"/>
    <n v="8"/>
    <n v="1.2"/>
    <n v="9.1999999999999993"/>
  </r>
  <r>
    <x v="0"/>
    <s v="D"/>
    <s v="OTHER"/>
    <s v="Amendment Fee - Domestic"/>
    <n v="100"/>
    <s v="Admn"/>
    <s v="Wgtn"/>
    <s v="Libby Macdonald"/>
    <x v="2"/>
    <s v="Mcpherson Grant"/>
    <x v="2"/>
    <n v="10"/>
    <n v="1.5"/>
    <n v="11.5"/>
  </r>
  <r>
    <x v="0"/>
    <s v="D"/>
    <s v="OTHER"/>
    <s v="Charge Back - Domestic Car"/>
    <n v="100"/>
    <s v="Admn"/>
    <s v="Wgtn"/>
    <s v="Libby Macdonald"/>
    <x v="2"/>
    <s v="Mcpherson Grant"/>
    <x v="2"/>
    <n v="7"/>
    <n v="1.05"/>
    <n v="8.0500000000000007"/>
  </r>
  <r>
    <x v="0"/>
    <s v="D"/>
    <s v="OTHER"/>
    <s v="Charge Back - Domestic Hotel"/>
    <n v="100"/>
    <s v="Admn"/>
    <s v="Wgtn"/>
    <s v="Libby Macdonald"/>
    <x v="2"/>
    <s v="Mcpherson Grant"/>
    <x v="2"/>
    <n v="7"/>
    <n v="1.05"/>
    <n v="8.0500000000000007"/>
  </r>
  <r>
    <x v="0"/>
    <s v="D"/>
    <s v="OTHER"/>
    <s v="Fee - Online Domestic"/>
    <n v="100"/>
    <s v="Admn"/>
    <s v="Akl0"/>
    <s v="Libby Macdonald"/>
    <x v="3"/>
    <s v="Mcpherson Grant"/>
    <x v="3"/>
    <n v="8"/>
    <n v="1.2"/>
    <n v="9.1999999999999993"/>
  </r>
  <r>
    <x v="0"/>
    <s v="D"/>
    <s v="OTHER"/>
    <s v="Amendment Fee - Domestic"/>
    <n v="100"/>
    <s v="Admn"/>
    <s v="Wgtn"/>
    <s v="Libby Macdonald"/>
    <x v="4"/>
    <s v="Mcpherson Grant"/>
    <x v="4"/>
    <n v="10"/>
    <n v="1.5"/>
    <n v="11.5"/>
  </r>
  <r>
    <x v="0"/>
    <s v="D"/>
    <s v="OTHER"/>
    <s v="Amendment Fee - Domestic"/>
    <n v="100"/>
    <s v="Admn"/>
    <s v="Wgtn"/>
    <s v="Libby Macdonald"/>
    <x v="4"/>
    <s v="Mcpherson Grant"/>
    <x v="4"/>
    <n v="10"/>
    <n v="1.5"/>
    <n v="11.5"/>
  </r>
  <r>
    <x v="0"/>
    <s v="D"/>
    <s v="OTHER"/>
    <s v="Fee - Online Domestic"/>
    <n v="100"/>
    <s v="Admn"/>
    <s v="Wgtn"/>
    <s v="Libby Macdonald"/>
    <x v="4"/>
    <s v="Mcpherson Grant"/>
    <x v="4"/>
    <n v="8"/>
    <n v="1.2"/>
    <n v="9.1999999999999993"/>
  </r>
  <r>
    <x v="1"/>
    <m/>
    <m/>
    <m/>
    <m/>
    <m/>
    <m/>
    <m/>
    <x v="5"/>
    <m/>
    <x v="5"/>
    <n v="623.9"/>
    <n v="11.86"/>
    <n v="635.7600000000001"/>
  </r>
  <r>
    <x v="1"/>
    <m/>
    <m/>
    <m/>
    <m/>
    <m/>
    <m/>
    <m/>
    <x v="5"/>
    <m/>
    <x v="5"/>
    <m/>
    <m/>
    <m/>
  </r>
  <r>
    <x v="1"/>
    <m/>
    <m/>
    <m/>
    <m/>
    <m/>
    <m/>
    <m/>
    <x v="5"/>
    <m/>
    <x v="5"/>
    <m/>
    <m/>
    <m/>
  </r>
  <r>
    <x v="2"/>
    <s v="D"/>
    <s v="TKT"/>
    <m/>
    <n v="100"/>
    <s v="Admn"/>
    <s v="Wgtn"/>
    <s v="Libby Macdonald"/>
    <x v="2"/>
    <s v="Mcpherson Grant"/>
    <x v="2"/>
    <n v="463.12"/>
    <n v="69.47"/>
    <n v="532.59"/>
  </r>
  <r>
    <x v="2"/>
    <s v="D"/>
    <s v="TKT"/>
    <m/>
    <n v="100"/>
    <s v="Admn"/>
    <s v="Wgtn"/>
    <s v="Libby Macdonald"/>
    <x v="2"/>
    <s v="Mcpherson Grant"/>
    <x v="2"/>
    <n v="43.48"/>
    <n v="6.52"/>
    <n v="50"/>
  </r>
  <r>
    <x v="2"/>
    <s v="D"/>
    <s v="TKT"/>
    <m/>
    <n v="100"/>
    <s v="Admn"/>
    <s v="Akl0"/>
    <s v="Libby Macdonald"/>
    <x v="3"/>
    <s v="Mcpherson Grant"/>
    <x v="3"/>
    <n v="273.76"/>
    <n v="41.06"/>
    <n v="314.82"/>
  </r>
  <r>
    <x v="2"/>
    <s v="D"/>
    <s v="TKT"/>
    <m/>
    <n v="100"/>
    <s v="Admn"/>
    <s v="Wgtn"/>
    <s v="Libby Macdonald"/>
    <x v="4"/>
    <s v="Mcpherson Grant"/>
    <x v="4"/>
    <n v="138.18"/>
    <n v="20.73"/>
    <n v="158.91"/>
  </r>
  <r>
    <x v="2"/>
    <s v="D"/>
    <s v="TKT"/>
    <m/>
    <n v="100"/>
    <s v="Admn"/>
    <s v="Wgtn"/>
    <s v="Libby Macdonald"/>
    <x v="4"/>
    <s v="Mcpherson Grant"/>
    <x v="4"/>
    <n v="76.61"/>
    <n v="11.49"/>
    <n v="88.1"/>
  </r>
  <r>
    <x v="2"/>
    <s v="D"/>
    <s v="TKT"/>
    <m/>
    <n v="100"/>
    <s v="Admn"/>
    <s v="Wgtn"/>
    <s v="Libby Macdonald"/>
    <x v="4"/>
    <s v="Mcpherson Grant"/>
    <x v="4"/>
    <n v="179.91"/>
    <n v="26.99"/>
    <n v="206.9"/>
  </r>
  <r>
    <x v="1"/>
    <m/>
    <m/>
    <m/>
    <m/>
    <m/>
    <m/>
    <m/>
    <x v="5"/>
    <m/>
    <x v="5"/>
    <n v="1175.06"/>
    <n v="176.26000000000002"/>
    <n v="1351.3200000000002"/>
  </r>
  <r>
    <x v="1"/>
    <m/>
    <m/>
    <m/>
    <m/>
    <m/>
    <m/>
    <m/>
    <x v="5"/>
    <m/>
    <x v="5"/>
    <m/>
    <m/>
    <m/>
  </r>
  <r>
    <x v="1"/>
    <m/>
    <m/>
    <m/>
    <m/>
    <m/>
    <m/>
    <m/>
    <x v="5"/>
    <m/>
    <x v="5"/>
    <m/>
    <m/>
    <m/>
  </r>
  <r>
    <x v="3"/>
    <s v="D"/>
    <s v="HOTEL"/>
    <m/>
    <n v="100"/>
    <s v="Admn"/>
    <s v="Wgtn"/>
    <s v="Libby Macdonald"/>
    <x v="2"/>
    <s v="Mcpherson Grant"/>
    <x v="2"/>
    <n v="30.43"/>
    <n v="4.5599999999999996"/>
    <n v="34.99"/>
  </r>
  <r>
    <x v="3"/>
    <s v="D"/>
    <s v="HOTEL"/>
    <m/>
    <n v="100"/>
    <s v="Admn"/>
    <s v="Wgtn"/>
    <s v="Libby Macdonald"/>
    <x v="2"/>
    <s v="Mcpherson Grant"/>
    <x v="2"/>
    <n v="207.83"/>
    <n v="31.17"/>
    <n v="239"/>
  </r>
  <r>
    <x v="1"/>
    <m/>
    <m/>
    <m/>
    <m/>
    <m/>
    <m/>
    <m/>
    <x v="5"/>
    <m/>
    <x v="5"/>
    <n v="238.26000000000002"/>
    <n v="35.730000000000004"/>
    <n v="273.99"/>
  </r>
  <r>
    <x v="1"/>
    <m/>
    <m/>
    <m/>
    <m/>
    <m/>
    <m/>
    <m/>
    <x v="5"/>
    <m/>
    <x v="5"/>
    <m/>
    <m/>
    <m/>
  </r>
  <r>
    <x v="1"/>
    <m/>
    <m/>
    <m/>
    <m/>
    <m/>
    <m/>
    <m/>
    <x v="5"/>
    <m/>
    <x v="5"/>
    <m/>
    <m/>
    <m/>
  </r>
  <r>
    <x v="4"/>
    <s v="D"/>
    <s v="CARCOMPANY"/>
    <m/>
    <n v="100"/>
    <s v="Admn"/>
    <s v="Wgtn"/>
    <s v="Libby Macdonald"/>
    <x v="2"/>
    <s v="Mcpherson Grant"/>
    <x v="2"/>
    <n v="24"/>
    <n v="3.6"/>
    <n v="27.6"/>
  </r>
  <r>
    <x v="4"/>
    <s v="D"/>
    <s v="CARCOMPANY"/>
    <m/>
    <n v="100"/>
    <s v="Admn"/>
    <s v="Wgtn"/>
    <s v="Libby Macdonald"/>
    <x v="2"/>
    <s v="Mcpherson Grant"/>
    <x v="2"/>
    <n v="1.47"/>
    <n v="0.22"/>
    <n v="1.69"/>
  </r>
  <r>
    <x v="4"/>
    <s v="D"/>
    <s v="CARCOMPANY"/>
    <m/>
    <n v="100"/>
    <s v="Admn"/>
    <s v="Wgtn"/>
    <s v="Libby Macdonald"/>
    <x v="2"/>
    <s v="Mcpherson Grant"/>
    <x v="2"/>
    <n v="98"/>
    <n v="14.7"/>
    <n v="112.7"/>
  </r>
  <r>
    <x v="1"/>
    <m/>
    <m/>
    <m/>
    <m/>
    <m/>
    <m/>
    <m/>
    <x v="5"/>
    <m/>
    <x v="5"/>
    <n v="123.47"/>
    <n v="18.52"/>
    <n v="141.99"/>
  </r>
  <r>
    <x v="1"/>
    <m/>
    <m/>
    <m/>
    <m/>
    <m/>
    <m/>
    <m/>
    <x v="5"/>
    <m/>
    <x v="5"/>
    <m/>
    <m/>
    <m/>
  </r>
  <r>
    <x v="1"/>
    <m/>
    <m/>
    <m/>
    <m/>
    <m/>
    <m/>
    <m/>
    <x v="5"/>
    <m/>
    <x v="5"/>
    <m/>
    <m/>
    <m/>
  </r>
  <r>
    <x v="5"/>
    <s v="I"/>
    <s v="TKT"/>
    <m/>
    <n v="100"/>
    <s v="Admn"/>
    <s v="Vt00"/>
    <s v="Tereska Thornton"/>
    <x v="6"/>
    <s v="Mcpherson Grant"/>
    <x v="1"/>
    <n v="31.32"/>
    <n v="0"/>
    <n v="31.32"/>
  </r>
  <r>
    <x v="5"/>
    <s v="I"/>
    <s v="TKT"/>
    <m/>
    <n v="440"/>
    <s v="Admn"/>
    <s v="La00"/>
    <s v="Lisa Futsche"/>
    <x v="0"/>
    <s v="Mcpherson Grant"/>
    <x v="0"/>
    <n v="5126.8"/>
    <n v="0"/>
    <n v="5126.8"/>
  </r>
  <r>
    <x v="5"/>
    <s v="I"/>
    <s v="TKT"/>
    <m/>
    <n v="440"/>
    <s v="Admn"/>
    <s v="La00"/>
    <s v="Lisa Futsche"/>
    <x v="0"/>
    <s v="Mcpherson Grant"/>
    <x v="0"/>
    <n v="1422.9"/>
    <n v="0"/>
    <n v="1422.9"/>
  </r>
  <r>
    <x v="5"/>
    <s v="I"/>
    <s v="TKT"/>
    <m/>
    <n v="100"/>
    <s v="Admn"/>
    <s v="Na00"/>
    <s v="Tereska Thornton"/>
    <x v="1"/>
    <s v="Mcpherson Grant"/>
    <x v="1"/>
    <n v="7332.2"/>
    <n v="0"/>
    <n v="7332.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s v="D"/>
    <s v="OTHER"/>
    <s v="Amendment Fee - Domestic"/>
    <n v="100"/>
    <s v="Admn"/>
    <s v="Akl0"/>
    <s v="Libby Macdonald"/>
    <x v="0"/>
    <s v="Mcpherson Grant"/>
    <x v="0"/>
    <n v="10"/>
    <n v="1.5"/>
    <n v="11.5"/>
  </r>
  <r>
    <x v="0"/>
    <s v="D"/>
    <s v="OTHER"/>
    <s v="Charge Back - Domestic Car"/>
    <n v="100"/>
    <s v="Admn"/>
    <s v="Akl0"/>
    <s v="Libby Macdonald"/>
    <x v="0"/>
    <s v="Mcpherson Grant"/>
    <x v="0"/>
    <n v="7"/>
    <n v="1.05"/>
    <n v="8.0500000000000007"/>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Fee - Online Domestic"/>
    <n v="100"/>
    <s v="Admn"/>
    <s v="Wgtn"/>
    <s v="Libby Macdonald"/>
    <x v="1"/>
    <s v="Mcpherson Grant"/>
    <x v="1"/>
    <n v="5.85"/>
    <n v="0.88"/>
    <n v="6.73"/>
  </r>
  <r>
    <x v="0"/>
    <s v="D"/>
    <s v="OTHER"/>
    <s v="Amendment Fee - Domestic"/>
    <n v="100"/>
    <s v="Admn"/>
    <s v="Wgtn"/>
    <s v="Libby Macdonald"/>
    <x v="1"/>
    <s v="Mcpherson Grant"/>
    <x v="1"/>
    <n v="10"/>
    <n v="1.5"/>
    <n v="11.5"/>
  </r>
  <r>
    <x v="0"/>
    <s v="D"/>
    <s v="OTHER"/>
    <s v="Automated Line Item Fee"/>
    <n v="100"/>
    <s v="Admn"/>
    <s v="Wgtn"/>
    <s v="Libby Macdonald"/>
    <x v="1"/>
    <s v="Mcpherson Grant"/>
    <x v="1"/>
    <n v="0.5"/>
    <n v="0.08"/>
    <n v="0.57999999999999996"/>
  </r>
  <r>
    <x v="0"/>
    <s v="D"/>
    <s v="OTHER"/>
    <s v="Automated Line Item Fee"/>
    <n v="100"/>
    <s v="Admn"/>
    <s v="Wgtn"/>
    <s v="Libby Macdonald"/>
    <x v="1"/>
    <s v="Mcpherson Grant"/>
    <x v="1"/>
    <n v="0.5"/>
    <n v="0.08"/>
    <n v="0.57999999999999996"/>
  </r>
  <r>
    <x v="0"/>
    <s v="D"/>
    <s v="OTHER"/>
    <s v="Charge Back - Domestic Hotel"/>
    <n v="100"/>
    <s v="Admn"/>
    <s v="Wgtn"/>
    <s v="Libby Macdonald"/>
    <x v="1"/>
    <s v="Mcpherson Grant"/>
    <x v="1"/>
    <n v="15.01"/>
    <n v="2.25"/>
    <n v="17.260000000000002"/>
  </r>
  <r>
    <x v="0"/>
    <s v="D"/>
    <s v="OTHER"/>
    <s v="Charge Back - Domestic Hotel"/>
    <n v="100"/>
    <s v="Admn"/>
    <s v="Wgtn"/>
    <s v="Libby Macdonald"/>
    <x v="1"/>
    <s v="Mcpherson Grant"/>
    <x v="1"/>
    <n v="7.5"/>
    <n v="1.1299999999999999"/>
    <n v="8.6300000000000008"/>
  </r>
  <r>
    <x v="0"/>
    <s v="D"/>
    <s v="OTHER"/>
    <s v="Charge Back - Domestic Car"/>
    <n v="100"/>
    <s v="Admn"/>
    <s v="Wgtn"/>
    <s v="Libby Macdonald"/>
    <x v="1"/>
    <s v="Mcpherson Grant"/>
    <x v="1"/>
    <n v="7.5"/>
    <n v="1.1299999999999999"/>
    <n v="8.6300000000000008"/>
  </r>
  <r>
    <x v="0"/>
    <s v="I"/>
    <s v="OTHER"/>
    <s v="Fee - Offline Longhaul"/>
    <n v="100"/>
    <s v="Admn"/>
    <s v="Sk00"/>
    <s v="Libby Mcdonald"/>
    <x v="2"/>
    <s v="Mcpherson Grant"/>
    <x v="2"/>
    <n v="135.35"/>
    <n v="0"/>
    <n v="135.35"/>
  </r>
  <r>
    <x v="0"/>
    <s v="I"/>
    <s v="OTHER"/>
    <s v="Longhaul Booking Fee - Hotel"/>
    <n v="100"/>
    <s v="Admn"/>
    <s v="Sk00"/>
    <s v="Libby Mcdonald"/>
    <x v="2"/>
    <s v="Mcpherson Grant"/>
    <x v="2"/>
    <n v="40"/>
    <n v="0"/>
    <n v="40"/>
  </r>
  <r>
    <x v="0"/>
    <s v="I"/>
    <s v="OTHER"/>
    <s v="Longhaul Booking Fee - Hotel"/>
    <n v="100"/>
    <s v="Admn"/>
    <s v="Sk00"/>
    <s v="Libby Mcdonald"/>
    <x v="2"/>
    <s v="Mcpherson Grant"/>
    <x v="2"/>
    <n v="40"/>
    <n v="0"/>
    <n v="40"/>
  </r>
  <r>
    <x v="0"/>
    <s v="I"/>
    <s v="OTHER"/>
    <s v="Longhaul Booking Fee - Hotel"/>
    <n v="100"/>
    <s v="Admn"/>
    <s v="Sk00"/>
    <s v="Libby Mcdonald"/>
    <x v="2"/>
    <s v="Mcpherson Grant"/>
    <x v="2"/>
    <n v="40"/>
    <n v="0"/>
    <n v="40"/>
  </r>
  <r>
    <x v="0"/>
    <s v="I"/>
    <s v="OTHER"/>
    <s v="Automated Line Item Fee"/>
    <n v="100"/>
    <s v="Admn"/>
    <s v="Sk00"/>
    <s v="Libby Mcdonald"/>
    <x v="2"/>
    <s v="Mcpherson Grant"/>
    <x v="2"/>
    <n v="0.5"/>
    <n v="0"/>
    <n v="0.5"/>
  </r>
  <r>
    <x v="0"/>
    <s v="I"/>
    <s v="OTHER"/>
    <s v="Automated Line Item Fee"/>
    <n v="100"/>
    <s v="Admn"/>
    <s v="Sk00"/>
    <s v="Libby Mcdonald"/>
    <x v="2"/>
    <s v="Mcpherson Grant"/>
    <x v="2"/>
    <n v="0.5"/>
    <n v="0"/>
    <n v="0.5"/>
  </r>
  <r>
    <x v="0"/>
    <s v="I"/>
    <s v="OTHER"/>
    <s v="Automated Line Item Fee"/>
    <n v="100"/>
    <s v="Admn"/>
    <s v="Sk00"/>
    <s v="Libby Mcdonald"/>
    <x v="2"/>
    <s v="Mcpherson Grant"/>
    <x v="2"/>
    <n v="0.5"/>
    <n v="0"/>
    <n v="0.5"/>
  </r>
  <r>
    <x v="0"/>
    <s v="I"/>
    <s v="OTHER"/>
    <s v="Automated Line Item Fee"/>
    <n v="100"/>
    <s v="Admn"/>
    <s v="Sk00"/>
    <s v="Libby Mcdonald"/>
    <x v="2"/>
    <s v="Mcpherson Grant"/>
    <x v="2"/>
    <n v="0.5"/>
    <n v="0"/>
    <n v="0.5"/>
  </r>
  <r>
    <x v="0"/>
    <s v="I"/>
    <s v="OTHER"/>
    <s v="Automated Line Item Fee"/>
    <n v="100"/>
    <s v="Admn"/>
    <s v="Sk00"/>
    <s v="Libby Mcdonald"/>
    <x v="2"/>
    <s v="Mcpherson Grant"/>
    <x v="2"/>
    <n v="0.5"/>
    <n v="0"/>
    <n v="0.5"/>
  </r>
  <r>
    <x v="0"/>
    <s v="I"/>
    <s v="OTHER"/>
    <s v="Automated Line Item Fee"/>
    <n v="100"/>
    <s v="Admn"/>
    <s v="Sk00"/>
    <s v="Libby Mcdonald"/>
    <x v="2"/>
    <s v="Mcpherson Grant"/>
    <x v="2"/>
    <n v="0.5"/>
    <n v="0"/>
    <n v="0.5"/>
  </r>
  <r>
    <x v="0"/>
    <s v="I"/>
    <s v="OTHER"/>
    <s v="Amendment Fee - Longhaul"/>
    <n v="100"/>
    <s v="Admn"/>
    <s v="Sk00"/>
    <s v="Libby Mcdonald"/>
    <x v="2"/>
    <s v="Mcpherson Grant"/>
    <x v="2"/>
    <n v="50"/>
    <n v="0"/>
    <n v="50"/>
  </r>
  <r>
    <x v="0"/>
    <s v="I"/>
    <s v="OTHER"/>
    <s v="Longhaul Booking Fee - Hotel"/>
    <n v="100"/>
    <s v="Admn"/>
    <s v="Sk00"/>
    <s v="Libby Mcdonald"/>
    <x v="2"/>
    <s v="Mcpherson Grant"/>
    <x v="2"/>
    <n v="40"/>
    <n v="0"/>
    <n v="40"/>
  </r>
  <r>
    <x v="0"/>
    <s v="D"/>
    <s v="OTHER"/>
    <s v="Fee - Online Domestic"/>
    <n v="100"/>
    <s v="Admn"/>
    <s v="Akl0"/>
    <s v="Libby Macdonald"/>
    <x v="3"/>
    <s v="Mcpherson Grant"/>
    <x v="3"/>
    <n v="5.85"/>
    <n v="0.88"/>
    <n v="6.73"/>
  </r>
  <r>
    <x v="0"/>
    <s v="D"/>
    <s v="OTHER"/>
    <s v="Amendment Fee - Domestic"/>
    <n v="100"/>
    <s v="Admn"/>
    <s v="Akl0"/>
    <s v="Libby Macdonald"/>
    <x v="3"/>
    <s v="Mcpherson Grant"/>
    <x v="4"/>
    <n v="10"/>
    <n v="1.5"/>
    <n v="11.5"/>
  </r>
  <r>
    <x v="0"/>
    <s v="D"/>
    <s v="OTHER"/>
    <s v="Automated Line Item Fee"/>
    <n v="100"/>
    <s v="Admn"/>
    <s v="Akl0"/>
    <s v="Libby Macdonald"/>
    <x v="3"/>
    <s v="Mcpherson Grant"/>
    <x v="4"/>
    <n v="0.5"/>
    <n v="0.08"/>
    <n v="0.57999999999999996"/>
  </r>
  <r>
    <x v="0"/>
    <s v="D"/>
    <s v="OTHER"/>
    <s v="Automated Line Item Fee"/>
    <n v="100"/>
    <s v="Admn"/>
    <s v="Akl0"/>
    <s v="Libby Macdonald"/>
    <x v="3"/>
    <s v="Mcpherson Grant"/>
    <x v="4"/>
    <n v="0.5"/>
    <n v="0.08"/>
    <n v="0.57999999999999996"/>
  </r>
  <r>
    <x v="0"/>
    <s v="D"/>
    <s v="OTHER"/>
    <s v="Charge Back - Domestic Car"/>
    <n v="100"/>
    <s v="Admn"/>
    <s v="Akl0"/>
    <s v="Libby Macdonald"/>
    <x v="3"/>
    <s v="Mcpherson Grant"/>
    <x v="5"/>
    <n v="7.5"/>
    <n v="1.1299999999999999"/>
    <n v="8.6300000000000008"/>
  </r>
  <r>
    <x v="0"/>
    <s v="D"/>
    <s v="OTHER"/>
    <s v="Amendment Fee - Domestic"/>
    <n v="100"/>
    <s v="Admn"/>
    <s v="Akl0"/>
    <s v="Libby Macdonald"/>
    <x v="4"/>
    <s v="Mcpherson Grant"/>
    <x v="4"/>
    <n v="10"/>
    <n v="1.5"/>
    <n v="11.5"/>
  </r>
  <r>
    <x v="0"/>
    <s v="D"/>
    <s v="OTHER"/>
    <s v="Fee - Online Assisted Domestic"/>
    <n v="100"/>
    <s v="Admn"/>
    <s v="Akl0"/>
    <s v="Libby Macdonald"/>
    <x v="4"/>
    <s v="Mcpherson Grant"/>
    <x v="6"/>
    <n v="16.850000000000001"/>
    <n v="2.5299999999999998"/>
    <n v="19.38"/>
  </r>
  <r>
    <x v="0"/>
    <s v="I"/>
    <s v="OTHER"/>
    <s v="Fee - Offline Longhaul"/>
    <n v="100"/>
    <s v="Admn"/>
    <s v="Wgtn"/>
    <s v="Libby Mcdonadl"/>
    <x v="5"/>
    <s v="Mcpherson Grant"/>
    <x v="7"/>
    <n v="135.35"/>
    <n v="0"/>
    <n v="135.35"/>
  </r>
  <r>
    <x v="1"/>
    <s v="D"/>
    <s v="TKT"/>
    <m/>
    <n v="100"/>
    <s v="Admn"/>
    <s v="Akl0"/>
    <s v="Libby Macdonald"/>
    <x v="0"/>
    <s v="Mcpherson Grant"/>
    <x v="0"/>
    <n v="120.95"/>
    <n v="18.14"/>
    <n v="139.09"/>
  </r>
  <r>
    <x v="1"/>
    <s v="D"/>
    <s v="TKT"/>
    <m/>
    <n v="100"/>
    <s v="Admn"/>
    <s v="Wgtn"/>
    <s v="Libby Macdonald"/>
    <x v="1"/>
    <s v="Mcpherson Grant"/>
    <x v="1"/>
    <n v="1045.07"/>
    <n v="156.76"/>
    <n v="1201.83"/>
  </r>
  <r>
    <x v="1"/>
    <s v="D"/>
    <s v="TKT"/>
    <m/>
    <n v="100"/>
    <s v="Admn"/>
    <s v="Akl0"/>
    <s v="Libby Macdonald"/>
    <x v="3"/>
    <s v="Mcpherson Grant"/>
    <x v="5"/>
    <n v="579.35"/>
    <n v="86.9"/>
    <n v="666.25"/>
  </r>
  <r>
    <x v="1"/>
    <s v="D"/>
    <s v="TKT"/>
    <m/>
    <n v="100"/>
    <s v="Admn"/>
    <s v="Akl0"/>
    <s v="Libby Macdonald"/>
    <x v="3"/>
    <s v="Mcpherson Grant"/>
    <x v="5"/>
    <n v="83.51"/>
    <n v="12.53"/>
    <n v="96.04"/>
  </r>
  <r>
    <x v="1"/>
    <s v="D"/>
    <s v="TKT"/>
    <m/>
    <n v="100"/>
    <s v="Admn"/>
    <s v="Akl0"/>
    <s v="Libby Macdonald"/>
    <x v="4"/>
    <s v="Mcpherson Grant"/>
    <x v="6"/>
    <n v="458.83"/>
    <n v="68.819999999999993"/>
    <n v="527.65"/>
  </r>
  <r>
    <x v="1"/>
    <s v="D"/>
    <s v="TKT"/>
    <m/>
    <n v="100"/>
    <s v="Admn"/>
    <s v="Akl0"/>
    <s v="Libby Macdonald"/>
    <x v="4"/>
    <s v="Mcpherson Grant"/>
    <x v="6"/>
    <n v="-458.83"/>
    <n v="-68.819999999999993"/>
    <n v="-527.65"/>
  </r>
  <r>
    <x v="2"/>
    <s v="D"/>
    <s v="HOTEL"/>
    <m/>
    <n v="100"/>
    <s v="Admn"/>
    <s v="Wgtn"/>
    <s v="Libby Macdonald"/>
    <x v="1"/>
    <s v="Mcpherson Grant"/>
    <x v="1"/>
    <n v="7.83"/>
    <n v="1.17"/>
    <n v="9"/>
  </r>
  <r>
    <x v="2"/>
    <s v="D"/>
    <s v="HOTEL"/>
    <m/>
    <n v="100"/>
    <s v="Admn"/>
    <s v="Wgtn"/>
    <s v="Libby Macdonald"/>
    <x v="1"/>
    <s v="Mcpherson Grant"/>
    <x v="1"/>
    <n v="30.87"/>
    <n v="4.63"/>
    <n v="35.5"/>
  </r>
  <r>
    <x v="2"/>
    <s v="D"/>
    <s v="HOTEL"/>
    <m/>
    <n v="100"/>
    <s v="Admn"/>
    <s v="Wgtn"/>
    <s v="Libby Macdonald"/>
    <x v="1"/>
    <s v="Mcpherson Grant"/>
    <x v="1"/>
    <n v="329.57"/>
    <n v="49.44"/>
    <n v="379.01"/>
  </r>
  <r>
    <x v="2"/>
    <s v="D"/>
    <s v="HOTEL"/>
    <m/>
    <n v="100"/>
    <s v="Admn"/>
    <s v="Wgtn"/>
    <s v="Libby Macdonald"/>
    <x v="1"/>
    <s v="Mcpherson Grant"/>
    <x v="1"/>
    <n v="15.22"/>
    <n v="2.2799999999999998"/>
    <n v="17.5"/>
  </r>
  <r>
    <x v="2"/>
    <s v="D"/>
    <s v="HOTEL"/>
    <m/>
    <n v="100"/>
    <s v="Admn"/>
    <s v="Wgtn"/>
    <s v="Libby Macdonald"/>
    <x v="1"/>
    <s v="Mcpherson Grant"/>
    <x v="1"/>
    <n v="36.520000000000003"/>
    <n v="5.48"/>
    <n v="42"/>
  </r>
  <r>
    <x v="2"/>
    <s v="D"/>
    <s v="HOTEL"/>
    <m/>
    <n v="100"/>
    <s v="Admn"/>
    <s v="Wgtn"/>
    <s v="Libby Macdonald"/>
    <x v="1"/>
    <s v="Mcpherson Grant"/>
    <x v="1"/>
    <n v="311.3"/>
    <n v="46.7"/>
    <n v="358"/>
  </r>
  <r>
    <x v="2"/>
    <s v="D"/>
    <s v="HOTEL"/>
    <m/>
    <n v="100"/>
    <s v="Admn"/>
    <s v="Wgtn"/>
    <s v="Libby Macdonald"/>
    <x v="1"/>
    <s v="Mcpherson Grant"/>
    <x v="1"/>
    <n v="190.43"/>
    <n v="28.56"/>
    <n v="218.99"/>
  </r>
  <r>
    <x v="3"/>
    <s v="D"/>
    <s v="CARCOMPANY"/>
    <m/>
    <n v="100"/>
    <s v="Admn"/>
    <s v="Akl0"/>
    <s v="Libby Macdonald"/>
    <x v="0"/>
    <s v="Mcpherson Grant"/>
    <x v="0"/>
    <n v="12"/>
    <n v="1.8"/>
    <n v="13.8"/>
  </r>
  <r>
    <x v="3"/>
    <s v="D"/>
    <s v="CARCOMPANY"/>
    <m/>
    <n v="100"/>
    <s v="Admn"/>
    <s v="Akl0"/>
    <s v="Libby Macdonald"/>
    <x v="0"/>
    <s v="Mcpherson Grant"/>
    <x v="0"/>
    <n v="0.74"/>
    <n v="0.11"/>
    <n v="0.85"/>
  </r>
  <r>
    <x v="3"/>
    <s v="D"/>
    <s v="CARCOMPANY"/>
    <m/>
    <n v="100"/>
    <s v="Admn"/>
    <s v="Akl0"/>
    <s v="Libby Macdonald"/>
    <x v="0"/>
    <s v="Mcpherson Grant"/>
    <x v="0"/>
    <n v="49"/>
    <n v="7.35"/>
    <n v="56.35"/>
  </r>
  <r>
    <x v="3"/>
    <s v="D"/>
    <s v="CARCOMPANY"/>
    <m/>
    <n v="100"/>
    <s v="Admn"/>
    <s v="Wgtn"/>
    <s v="Libby Macdonald"/>
    <x v="1"/>
    <s v="Mcpherson Grant"/>
    <x v="1"/>
    <n v="36"/>
    <n v="5.4"/>
    <n v="41.4"/>
  </r>
  <r>
    <x v="3"/>
    <s v="D"/>
    <s v="CARCOMPANY"/>
    <m/>
    <n v="100"/>
    <s v="Admn"/>
    <s v="Wgtn"/>
    <s v="Libby Macdonald"/>
    <x v="1"/>
    <s v="Mcpherson Grant"/>
    <x v="1"/>
    <n v="2.21"/>
    <n v="0.33"/>
    <n v="2.54"/>
  </r>
  <r>
    <x v="3"/>
    <s v="D"/>
    <s v="CARCOMPANY"/>
    <m/>
    <n v="100"/>
    <s v="Admn"/>
    <s v="Wgtn"/>
    <s v="Libby Macdonald"/>
    <x v="1"/>
    <s v="Mcpherson Grant"/>
    <x v="1"/>
    <n v="147"/>
    <n v="22.05"/>
    <n v="169.05"/>
  </r>
  <r>
    <x v="3"/>
    <s v="D"/>
    <s v="CARCOMPANY"/>
    <m/>
    <n v="100"/>
    <s v="Admn"/>
    <s v="Akl0"/>
    <s v="Libby Macdonald"/>
    <x v="3"/>
    <s v="Mcpherson Grant"/>
    <x v="5"/>
    <n v="12"/>
    <n v="1.8"/>
    <n v="13.8"/>
  </r>
  <r>
    <x v="3"/>
    <s v="D"/>
    <s v="CARCOMPANY"/>
    <m/>
    <n v="100"/>
    <s v="Admn"/>
    <s v="Akl0"/>
    <s v="Libby Macdonald"/>
    <x v="3"/>
    <s v="Mcpherson Grant"/>
    <x v="5"/>
    <n v="0.74"/>
    <n v="0.11"/>
    <n v="0.85"/>
  </r>
  <r>
    <x v="3"/>
    <s v="D"/>
    <s v="CARCOMPANY"/>
    <m/>
    <n v="100"/>
    <s v="Admn"/>
    <s v="Akl0"/>
    <s v="Libby Macdonald"/>
    <x v="3"/>
    <s v="Mcpherson Grant"/>
    <x v="5"/>
    <n v="49"/>
    <n v="7.35"/>
    <n v="56.35"/>
  </r>
  <r>
    <x v="4"/>
    <s v="I"/>
    <s v="TKT"/>
    <m/>
    <n v="100"/>
    <s v="Admn"/>
    <s v="Sk00"/>
    <s v="Libby Mcdonald"/>
    <x v="2"/>
    <s v="Mcpherson Grant"/>
    <x v="2"/>
    <n v="663.45"/>
    <n v="0"/>
    <n v="663.45"/>
  </r>
  <r>
    <x v="4"/>
    <s v="I"/>
    <s v="TKT"/>
    <m/>
    <n v="100"/>
    <s v="Admn"/>
    <s v="Sk00"/>
    <s v="Libby Mcdonald"/>
    <x v="2"/>
    <s v="Mcpherson Grant"/>
    <x v="2"/>
    <n v="9121.9"/>
    <n v="0"/>
    <n v="9121.9"/>
  </r>
  <r>
    <x v="4"/>
    <s v="I"/>
    <s v="TKT"/>
    <m/>
    <n v="100"/>
    <s v="Admn"/>
    <s v="Sk00"/>
    <s v="Libby Mcdonald"/>
    <x v="2"/>
    <s v="Mcpherson Grant"/>
    <x v="2"/>
    <n v="3312.01"/>
    <n v="0"/>
    <n v="3312.01"/>
  </r>
  <r>
    <x v="4"/>
    <s v="I"/>
    <s v="TKT"/>
    <m/>
    <n v="100"/>
    <s v="Admn"/>
    <s v="Sk00"/>
    <s v="Libby Mcdonald"/>
    <x v="2"/>
    <s v="Mcpherson Grant"/>
    <x v="2"/>
    <n v="5443.82"/>
    <n v="0"/>
    <n v="5443.82"/>
  </r>
  <r>
    <x v="4"/>
    <s v="I"/>
    <s v="TKT"/>
    <m/>
    <n v="100"/>
    <s v="Admn"/>
    <s v="Sk00"/>
    <s v="Libby Mcdonald"/>
    <x v="2"/>
    <s v="Mcpherson Grant"/>
    <x v="2"/>
    <n v="617.9"/>
    <n v="0"/>
    <n v="617.9"/>
  </r>
  <r>
    <x v="4"/>
    <s v="I"/>
    <s v="TKT"/>
    <m/>
    <n v="100"/>
    <s v="Admn"/>
    <s v="Sk00"/>
    <s v="Libby Mcdonald"/>
    <x v="2"/>
    <s v="Mcpherson Grant"/>
    <x v="2"/>
    <n v="349.55"/>
    <n v="0"/>
    <n v="349.55"/>
  </r>
  <r>
    <x v="4"/>
    <s v="I"/>
    <s v="TKT"/>
    <m/>
    <n v="100"/>
    <s v="Admn"/>
    <s v="Eu00"/>
    <s v="Libby Mcdonadl"/>
    <x v="5"/>
    <s v="Mcpherson Grant"/>
    <x v="7"/>
    <n v="7777.23"/>
    <n v="0"/>
    <n v="7777.23"/>
  </r>
  <r>
    <x v="5"/>
    <s v="I"/>
    <s v="HOTEL"/>
    <m/>
    <n v="100"/>
    <s v="Admn"/>
    <s v="Sk00"/>
    <s v="Libby Mcdonald"/>
    <x v="2"/>
    <s v="Mcpherson Grant"/>
    <x v="2"/>
    <n v="1172.1099999999999"/>
    <n v="0"/>
    <n v="1172.1099999999999"/>
  </r>
  <r>
    <x v="5"/>
    <s v="I"/>
    <s v="HOTEL"/>
    <m/>
    <n v="100"/>
    <s v="Admn"/>
    <s v="Sk00"/>
    <s v="Libby Mcdonald"/>
    <x v="2"/>
    <s v="Mcpherson Grant"/>
    <x v="2"/>
    <n v="751.12"/>
    <n v="0"/>
    <n v="751.12"/>
  </r>
  <r>
    <x v="5"/>
    <s v="I"/>
    <s v="HOTEL"/>
    <m/>
    <n v="100"/>
    <s v="Admn"/>
    <s v="Sk00"/>
    <s v="Libby Mcdonald"/>
    <x v="2"/>
    <s v="Mcpherson Grant"/>
    <x v="2"/>
    <n v="755.81"/>
    <n v="0"/>
    <n v="755.81"/>
  </r>
  <r>
    <x v="5"/>
    <s v="I"/>
    <s v="HOTEL"/>
    <m/>
    <n v="100"/>
    <s v="Admn"/>
    <s v="Sk00"/>
    <s v="Libby Mcdonald"/>
    <x v="2"/>
    <s v="Mcpherson Grant"/>
    <x v="2"/>
    <n v="-1172.1099999999999"/>
    <n v="0"/>
    <n v="-1172.1099999999999"/>
  </r>
  <r>
    <x v="5"/>
    <s v="I"/>
    <s v="HOTEL"/>
    <m/>
    <n v="100"/>
    <s v="Admn"/>
    <s v="Sk00"/>
    <s v="Libby Mcdonald"/>
    <x v="2"/>
    <s v="Mcpherson Grant"/>
    <x v="2"/>
    <n v="90.13"/>
    <n v="0"/>
    <n v="90.13"/>
  </r>
  <r>
    <x v="5"/>
    <s v="I"/>
    <s v="HOTEL"/>
    <m/>
    <n v="100"/>
    <s v="Admn"/>
    <s v="Sk00"/>
    <s v="Libby Mcdonald"/>
    <x v="2"/>
    <s v="Mcpherson Grant"/>
    <x v="2"/>
    <n v="90.69"/>
    <n v="0"/>
    <n v="90.69"/>
  </r>
  <r>
    <x v="5"/>
    <s v="I"/>
    <s v="OTHER"/>
    <s v="Charge Back Longhaul Hotel"/>
    <n v="100"/>
    <s v="Admn"/>
    <s v="Sk00"/>
    <s v="Libby Mcdonald"/>
    <x v="2"/>
    <s v="Mcpherson Grant"/>
    <x v="2"/>
    <n v="39"/>
    <n v="0"/>
    <n v="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s v="D"/>
    <s v="OTHER"/>
    <s v="Fee - Online Domestic"/>
    <n v="100"/>
    <s v="Admn"/>
    <s v="Akl0"/>
    <s v="Libby Macdonald"/>
    <x v="0"/>
    <s v="Mcpherson Grant"/>
    <x v="0"/>
    <n v="5.85"/>
    <n v="0.88"/>
    <n v="6.73"/>
  </r>
  <r>
    <x v="0"/>
    <s v="D"/>
    <s v="OTHER"/>
    <s v="Automated Line Item Fee"/>
    <n v="100"/>
    <s v="Admn"/>
    <s v="Akl0"/>
    <s v="Libby Macdonald"/>
    <x v="0"/>
    <s v="Mcpherson Grant"/>
    <x v="0"/>
    <n v="0.5"/>
    <n v="0.08"/>
    <n v="0.57999999999999996"/>
  </r>
  <r>
    <x v="0"/>
    <s v="D"/>
    <s v="OTHER"/>
    <s v="Automated Line Item Fee"/>
    <n v="100"/>
    <s v="Admn"/>
    <s v="Akl0"/>
    <s v="Libby Macdonald"/>
    <x v="0"/>
    <s v="Mcpherson Grant"/>
    <x v="0"/>
    <n v="0.5"/>
    <n v="0.08"/>
    <n v="0.57999999999999996"/>
  </r>
  <r>
    <x v="0"/>
    <s v="D"/>
    <s v="OTHER"/>
    <s v="Automated Line Item Fee"/>
    <n v="100"/>
    <s v="Admn"/>
    <s v="Akl0"/>
    <s v="Libby Macdonald"/>
    <x v="0"/>
    <s v="Mcpherson Grant"/>
    <x v="0"/>
    <n v="0.5"/>
    <n v="0.08"/>
    <n v="0.57999999999999996"/>
  </r>
  <r>
    <x v="0"/>
    <s v="D"/>
    <s v="OTHER"/>
    <s v="Charge Back - Domestic Car"/>
    <n v="100"/>
    <s v="Admn"/>
    <s v="Akl0"/>
    <s v="Libby Macdonald"/>
    <x v="0"/>
    <s v="Mcpherson Grant"/>
    <x v="0"/>
    <n v="7.5"/>
    <n v="1.1299999999999999"/>
    <n v="8.6300000000000008"/>
  </r>
  <r>
    <x v="0"/>
    <s v="D"/>
    <s v="OTHER"/>
    <s v="Fee - Online Domestic"/>
    <n v="100"/>
    <s v="Admn"/>
    <s v="Wgtn"/>
    <s v="Karim Dickie"/>
    <x v="1"/>
    <s v="Mcpherson Grant"/>
    <x v="1"/>
    <n v="5.85"/>
    <n v="0.88"/>
    <n v="6.73"/>
  </r>
  <r>
    <x v="0"/>
    <s v="D"/>
    <s v="OTHER"/>
    <s v="Amendment Fee - Domestic"/>
    <n v="100"/>
    <s v="Admn"/>
    <s v="Wgtn"/>
    <s v="Karim Dickie"/>
    <x v="1"/>
    <s v="Mcpherson Grant"/>
    <x v="1"/>
    <n v="10"/>
    <n v="1.5"/>
    <n v="11.5"/>
  </r>
  <r>
    <x v="0"/>
    <s v="D"/>
    <s v="OTHER"/>
    <s v="Amendment Fee - Domestic"/>
    <n v="100"/>
    <s v="Admn"/>
    <s v="Wgtn"/>
    <s v="Karim Dickie"/>
    <x v="1"/>
    <s v="Mcpherson Grant"/>
    <x v="1"/>
    <n v="10"/>
    <n v="1.5"/>
    <n v="11.5"/>
  </r>
  <r>
    <x v="0"/>
    <s v="I"/>
    <s v="OTHER"/>
    <s v="Fee - Offline Longhaul"/>
    <n v="100"/>
    <s v="Admn"/>
    <s v="Wgtn"/>
    <s v="Mcdonadl"/>
    <x v="2"/>
    <s v="Mcpherson Grant"/>
    <x v="2"/>
    <n v="105.35"/>
    <n v="0"/>
    <n v="105.35"/>
  </r>
  <r>
    <x v="0"/>
    <s v="I"/>
    <s v="OTHER"/>
    <s v="Amendment Fee - Longhaul"/>
    <n v="100"/>
    <s v="Admn"/>
    <s v="Wgtn"/>
    <s v="Mcdonadl"/>
    <x v="2"/>
    <s v="Mcpherson Grant"/>
    <x v="2"/>
    <n v="50"/>
    <n v="0"/>
    <n v="50"/>
  </r>
  <r>
    <x v="1"/>
    <s v="D"/>
    <s v="TKT"/>
    <m/>
    <n v="100"/>
    <s v="Admn"/>
    <s v="Akl0"/>
    <s v="Libby Macdonald"/>
    <x v="0"/>
    <s v="Mcpherson Grant"/>
    <x v="0"/>
    <n v="402.86"/>
    <n v="60.43"/>
    <n v="463.29"/>
  </r>
  <r>
    <x v="1"/>
    <s v="D"/>
    <s v="TKT"/>
    <m/>
    <n v="100"/>
    <s v="Admn"/>
    <s v="Wgtn"/>
    <s v="Karim Dickie"/>
    <x v="1"/>
    <s v="Mcpherson Grant"/>
    <x v="1"/>
    <n v="230.69"/>
    <n v="34.6"/>
    <n v="265.29000000000002"/>
  </r>
  <r>
    <x v="1"/>
    <s v="D"/>
    <s v="TKT"/>
    <m/>
    <n v="100"/>
    <s v="Admn"/>
    <s v="Wgtn"/>
    <s v="Karim Dickie"/>
    <x v="1"/>
    <s v="Mcpherson Grant"/>
    <x v="1"/>
    <n v="319.39"/>
    <n v="47.91"/>
    <n v="367.3"/>
  </r>
  <r>
    <x v="1"/>
    <s v="D"/>
    <s v="TKT"/>
    <m/>
    <n v="100"/>
    <s v="Admn"/>
    <s v="Wgtn"/>
    <s v="Karim Dickie"/>
    <x v="1"/>
    <s v="Mcpherson Grant"/>
    <x v="1"/>
    <n v="-550.08000000000004"/>
    <n v="-82.51"/>
    <n v="-632.59"/>
  </r>
  <r>
    <x v="2"/>
    <s v="D"/>
    <s v="CARCOMPANY"/>
    <m/>
    <n v="100"/>
    <s v="Admn"/>
    <s v="Akl0"/>
    <s v="Libby Macdonald"/>
    <x v="0"/>
    <s v="Mcpherson Grant"/>
    <x v="0"/>
    <n v="24"/>
    <n v="3.6"/>
    <n v="27.6"/>
  </r>
  <r>
    <x v="2"/>
    <s v="D"/>
    <s v="CARCOMPANY"/>
    <m/>
    <n v="100"/>
    <s v="Admn"/>
    <s v="Akl0"/>
    <s v="Libby Macdonald"/>
    <x v="0"/>
    <s v="Mcpherson Grant"/>
    <x v="0"/>
    <n v="13.13"/>
    <n v="1.97"/>
    <n v="15.1"/>
  </r>
  <r>
    <x v="2"/>
    <s v="D"/>
    <s v="CARCOMPANY"/>
    <m/>
    <n v="100"/>
    <s v="Admn"/>
    <s v="Akl0"/>
    <s v="Libby Macdonald"/>
    <x v="0"/>
    <s v="Mcpherson Grant"/>
    <x v="0"/>
    <n v="1.35"/>
    <n v="0.2"/>
    <n v="1.55"/>
  </r>
  <r>
    <x v="2"/>
    <s v="D"/>
    <s v="CARCOMPANY"/>
    <m/>
    <n v="100"/>
    <s v="Admn"/>
    <s v="Akl0"/>
    <s v="Libby Macdonald"/>
    <x v="0"/>
    <s v="Mcpherson Grant"/>
    <x v="0"/>
    <n v="90"/>
    <n v="13.5"/>
    <n v="103.5"/>
  </r>
  <r>
    <x v="3"/>
    <s v="I"/>
    <s v="TKT"/>
    <m/>
    <n v="100"/>
    <s v="Admn"/>
    <s v="Wgtn"/>
    <s v="Mcdonadl"/>
    <x v="2"/>
    <s v="Mcpherson Grant"/>
    <x v="2"/>
    <n v="8050.03"/>
    <n v="0"/>
    <n v="8050.03"/>
  </r>
  <r>
    <x v="3"/>
    <s v="I"/>
    <s v="TKT"/>
    <m/>
    <n v="100"/>
    <s v="Admn"/>
    <s v="Wgtn"/>
    <s v="Mcdonadl"/>
    <x v="2"/>
    <s v="Mcpherson Grant"/>
    <x v="2"/>
    <n v="200"/>
    <n v="0"/>
    <n v="2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3605"/>
    <s v="D"/>
    <x v="0"/>
    <s v="Fee - Online Domestic"/>
    <n v="100"/>
    <s v="Admn"/>
    <s v="Wgtn"/>
    <s v="Karim Dickie"/>
    <x v="0"/>
    <s v="Mcpherson Grant"/>
    <x v="0"/>
    <n v="10.85"/>
  </r>
  <r>
    <n v="3610"/>
    <s v="D"/>
    <x v="1"/>
    <m/>
    <n v="100"/>
    <s v="Admn"/>
    <s v="Wgtn"/>
    <s v="Karim Dickie"/>
    <x v="0"/>
    <s v="Mcpherson Grant"/>
    <x v="0"/>
    <n v="334"/>
  </r>
  <r>
    <n v="3605"/>
    <s v="D"/>
    <x v="0"/>
    <s v="Amendment Fee - Domestic"/>
    <n v="100"/>
    <s v="Admn"/>
    <s v="Wgtn"/>
    <s v="Karim Dickie"/>
    <x v="0"/>
    <s v="Mcpherson Grant"/>
    <x v="0"/>
    <n v="10"/>
  </r>
  <r>
    <n v="3605"/>
    <s v="D"/>
    <x v="0"/>
    <s v="Fee - Offline Domestic"/>
    <n v="100"/>
    <s v="Admn"/>
    <s v="Wgtn"/>
    <s v="Karim Dickie"/>
    <x v="1"/>
    <s v="Mcpherson Grant"/>
    <x v="1"/>
    <n v="21.35"/>
  </r>
  <r>
    <n v="3610"/>
    <s v="D"/>
    <x v="1"/>
    <m/>
    <n v="100"/>
    <s v="Admn"/>
    <s v="Wgtn"/>
    <s v="Karim Dickie"/>
    <x v="0"/>
    <s v="Mcpherson Grant"/>
    <x v="0"/>
    <n v="31.62"/>
  </r>
  <r>
    <n v="3610"/>
    <s v="D"/>
    <x v="1"/>
    <m/>
    <n v="100"/>
    <s v="Admn"/>
    <s v="Wgtn"/>
    <s v="Karim Dickie"/>
    <x v="1"/>
    <s v="Mcpherson Grant"/>
    <x v="1"/>
    <n v="348.93"/>
  </r>
  <r>
    <n v="3605"/>
    <s v="D"/>
    <x v="0"/>
    <s v="After Hours Fee Domestic"/>
    <n v="100"/>
    <s v="Admn"/>
    <s v="Wgtn"/>
    <s v="Karim Dickie"/>
    <x v="1"/>
    <s v="Mcpherson Grant"/>
    <x v="1"/>
    <n v="30"/>
  </r>
  <r>
    <n v="3605"/>
    <s v="D"/>
    <x v="0"/>
    <s v="Amendment Fee - Domestic"/>
    <n v="100"/>
    <s v="Admn"/>
    <s v="Wgtn"/>
    <s v="Karim Dickie"/>
    <x v="1"/>
    <s v="Mcpherson Grant"/>
    <x v="1"/>
    <n v="10"/>
  </r>
  <r>
    <n v="3605"/>
    <s v="D"/>
    <x v="0"/>
    <s v="Amendment Fee - Domestic"/>
    <n v="100"/>
    <s v="Admn"/>
    <s v="Wgtn"/>
    <s v="Karim Dickie"/>
    <x v="1"/>
    <s v="Mcpherson Grant"/>
    <x v="1"/>
    <n v="10"/>
  </r>
  <r>
    <n v="3605"/>
    <s v="D"/>
    <x v="0"/>
    <s v="Fee - Online Domestic"/>
    <n v="110"/>
    <s v="Admn"/>
    <s v="Wgtn"/>
    <s v="Karim Dickie"/>
    <x v="2"/>
    <s v="Mcpherson Grant"/>
    <x v="2"/>
    <n v="5.85"/>
  </r>
  <r>
    <n v="3610"/>
    <s v="D"/>
    <x v="1"/>
    <m/>
    <n v="100"/>
    <s v="Admn"/>
    <s v="Wgtn"/>
    <s v="Karim Dickie"/>
    <x v="0"/>
    <s v="Mcpherson Grant"/>
    <x v="0"/>
    <n v="-365.62"/>
  </r>
  <r>
    <n v="3610"/>
    <s v="D"/>
    <x v="1"/>
    <m/>
    <n v="100"/>
    <s v="Admn"/>
    <s v="Wgtn"/>
    <s v="Karim Dickie"/>
    <x v="1"/>
    <s v="Mcpherson Grant"/>
    <x v="1"/>
    <n v="66.790000000000006"/>
  </r>
  <r>
    <n v="3610"/>
    <s v="D"/>
    <x v="1"/>
    <m/>
    <n v="100"/>
    <s v="Admn"/>
    <s v="Wgtn"/>
    <s v="Karim Dickie"/>
    <x v="1"/>
    <s v="Mcpherson Grant"/>
    <x v="1"/>
    <n v="-415.72"/>
  </r>
  <r>
    <n v="3610"/>
    <s v="D"/>
    <x v="1"/>
    <m/>
    <n v="110"/>
    <s v="Admn"/>
    <s v="Wgtn"/>
    <s v="Karim Dickie"/>
    <x v="2"/>
    <s v="Mcpherson Grant"/>
    <x v="2"/>
    <n v="512.20000000000005"/>
  </r>
  <r>
    <n v="3605"/>
    <s v="D"/>
    <x v="0"/>
    <s v="Automated Line Item Fee"/>
    <n v="100"/>
    <s v="Admn"/>
    <s v="Wgtn"/>
    <s v="Karim Dickie"/>
    <x v="3"/>
    <s v="Mcpherson Grant"/>
    <x v="3"/>
    <n v="0.5"/>
  </r>
  <r>
    <n v="3605"/>
    <s v="D"/>
    <x v="0"/>
    <s v="Automated Line Item Fee"/>
    <n v="100"/>
    <s v="Admn"/>
    <s v="Wgtn"/>
    <s v="Karim Dickie"/>
    <x v="3"/>
    <s v="Mcpherson Grant"/>
    <x v="3"/>
    <n v="0.5"/>
  </r>
  <r>
    <n v="3625"/>
    <s v="D"/>
    <x v="0"/>
    <s v="Charge Back - Domestic Car"/>
    <n v="100"/>
    <s v="Admn"/>
    <s v="Wgtn"/>
    <s v="Karim Dickie"/>
    <x v="3"/>
    <s v="Mcpherson Grant"/>
    <x v="3"/>
    <n v="7.5"/>
  </r>
  <r>
    <n v="3635"/>
    <s v="D"/>
    <x v="2"/>
    <m/>
    <n v="100"/>
    <s v="Admn"/>
    <s v="Wgtn"/>
    <s v="Karim Dickie"/>
    <x v="3"/>
    <s v="Mcpherson Grant"/>
    <x v="3"/>
    <n v="20"/>
  </r>
  <r>
    <n v="3635"/>
    <s v="D"/>
    <x v="2"/>
    <m/>
    <n v="100"/>
    <s v="Admn"/>
    <s v="Wgtn"/>
    <s v="Karim Dickie"/>
    <x v="3"/>
    <s v="Mcpherson Grant"/>
    <x v="3"/>
    <n v="1.47"/>
  </r>
  <r>
    <n v="3635"/>
    <s v="D"/>
    <x v="2"/>
    <m/>
    <n v="100"/>
    <s v="Admn"/>
    <s v="Wgtn"/>
    <s v="Karim Dickie"/>
    <x v="3"/>
    <s v="Mcpherson Grant"/>
    <x v="3"/>
    <n v="9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3605"/>
    <s v="D"/>
    <x v="0"/>
    <s v="Automated Line Item Fee"/>
    <n v="100"/>
    <s v="Admn"/>
    <s v="Chch"/>
    <s v="Tereska Thornton"/>
    <x v="0"/>
    <s v="Mcpherson Grant"/>
    <x v="0"/>
    <n v="0.5"/>
    <n v="0.08"/>
    <n v="0.57999999999999996"/>
  </r>
  <r>
    <n v="3605"/>
    <s v="D"/>
    <x v="0"/>
    <s v="Automated Line Item Fee"/>
    <n v="100"/>
    <s v="Admn"/>
    <s v="Chch"/>
    <s v="Tereska Thornton"/>
    <x v="0"/>
    <s v="Mcpherson Grant"/>
    <x v="0"/>
    <n v="0.5"/>
    <n v="0.08"/>
    <n v="0.57999999999999996"/>
  </r>
  <r>
    <n v="3605"/>
    <s v="D"/>
    <x v="0"/>
    <s v="Amendment Fee - Domestic"/>
    <n v="100"/>
    <s v="Admn"/>
    <s v="Chch"/>
    <s v="Tereska Thornton"/>
    <x v="0"/>
    <s v="Mcpherson Grant"/>
    <x v="0"/>
    <n v="10"/>
    <n v="1.5"/>
    <n v="11.5"/>
  </r>
  <r>
    <n v="3605"/>
    <s v="D"/>
    <x v="0"/>
    <s v="Automated Line Item Fee"/>
    <n v="100"/>
    <s v="Admn"/>
    <s v="Chch"/>
    <s v="Tereska Thornton"/>
    <x v="0"/>
    <s v="Mcpherson Grant"/>
    <x v="0"/>
    <n v="0.5"/>
    <n v="0.08"/>
    <n v="0.57999999999999996"/>
  </r>
  <r>
    <n v="3605"/>
    <s v="D"/>
    <x v="0"/>
    <s v="Fee - Online Domestic"/>
    <n v="100"/>
    <s v="Admn"/>
    <s v="Chch"/>
    <s v="Tereska Thornton"/>
    <x v="0"/>
    <s v="Mcpherson Grant"/>
    <x v="0"/>
    <n v="5.85"/>
    <n v="0.88"/>
    <n v="6.73"/>
  </r>
  <r>
    <n v="3605"/>
    <s v="D"/>
    <x v="0"/>
    <s v="Amendment Fee - Domestic"/>
    <n v="100"/>
    <s v="Admn"/>
    <s v="Chch"/>
    <s v="Tereska Thornton"/>
    <x v="0"/>
    <s v="Mcpherson Grant"/>
    <x v="0"/>
    <n v="10"/>
    <n v="1.5"/>
    <n v="11.5"/>
  </r>
  <r>
    <n v="3605"/>
    <s v="D"/>
    <x v="0"/>
    <s v="Automated Line Item Fee"/>
    <n v="110"/>
    <s v="Admn"/>
    <s v="Wgtn"/>
    <s v="Karim Dickie"/>
    <x v="1"/>
    <s v="Mcpherson Grant"/>
    <x v="1"/>
    <n v="0.5"/>
    <n v="0.08"/>
    <n v="0.57999999999999996"/>
  </r>
  <r>
    <n v="3605"/>
    <s v="D"/>
    <x v="0"/>
    <s v="Automated Line Item Fee"/>
    <n v="110"/>
    <s v="Admn"/>
    <s v="Wgtn"/>
    <s v="Karim Dickie"/>
    <x v="1"/>
    <s v="Mcpherson Grant"/>
    <x v="1"/>
    <n v="0.5"/>
    <n v="0.08"/>
    <n v="0.57999999999999996"/>
  </r>
  <r>
    <n v="3605"/>
    <s v="D"/>
    <x v="0"/>
    <s v="Automated Line Item Fee"/>
    <n v="110"/>
    <s v="Admn"/>
    <s v="Wgtn"/>
    <s v="Karim Dickie"/>
    <x v="1"/>
    <s v="Mcpherson Grant"/>
    <x v="1"/>
    <n v="0.5"/>
    <n v="0.08"/>
    <n v="0.57999999999999996"/>
  </r>
  <r>
    <n v="3610"/>
    <s v="D"/>
    <x v="1"/>
    <m/>
    <n v="100"/>
    <s v="Admn"/>
    <s v="Chch"/>
    <s v="Tereska Thornton"/>
    <x v="0"/>
    <s v="Mcpherson Grant"/>
    <x v="0"/>
    <n v="18.989999999999998"/>
    <n v="2.85"/>
    <n v="21.84"/>
  </r>
  <r>
    <n v="3610"/>
    <s v="D"/>
    <x v="1"/>
    <m/>
    <n v="100"/>
    <s v="Admn"/>
    <s v="Chch"/>
    <s v="Tereska Thornton"/>
    <x v="0"/>
    <s v="Mcpherson Grant"/>
    <x v="0"/>
    <n v="727.38"/>
    <n v="109.11"/>
    <n v="836.49"/>
  </r>
  <r>
    <n v="3625"/>
    <s v="D"/>
    <x v="0"/>
    <s v="Charge Back - Domestic Car"/>
    <n v="100"/>
    <s v="Admn"/>
    <s v="Chch"/>
    <s v="Tereska Thornton"/>
    <x v="0"/>
    <s v="Mcpherson Grant"/>
    <x v="0"/>
    <n v="7.5"/>
    <n v="1.1299999999999999"/>
    <n v="8.6300000000000008"/>
  </r>
  <r>
    <n v="3625"/>
    <s v="D"/>
    <x v="0"/>
    <s v="Charge Back - Domestic Car"/>
    <n v="110"/>
    <s v="Admn"/>
    <s v="Wgtn"/>
    <s v="Karim Dickie"/>
    <x v="1"/>
    <s v="Mcpherson Grant"/>
    <x v="1"/>
    <n v="7.5"/>
    <n v="1.1299999999999999"/>
    <n v="8.6300000000000008"/>
  </r>
  <r>
    <n v="3635"/>
    <s v="D"/>
    <x v="2"/>
    <m/>
    <n v="100"/>
    <s v="Admn"/>
    <s v="Chch"/>
    <s v="Tereska Thornton"/>
    <x v="0"/>
    <s v="Mcpherson Grant"/>
    <x v="0"/>
    <n v="36"/>
    <n v="5.4"/>
    <n v="41.4"/>
  </r>
  <r>
    <n v="3635"/>
    <s v="D"/>
    <x v="2"/>
    <m/>
    <n v="100"/>
    <s v="Admn"/>
    <s v="Chch"/>
    <s v="Tereska Thornton"/>
    <x v="0"/>
    <s v="Mcpherson Grant"/>
    <x v="0"/>
    <n v="15.72"/>
    <n v="2.36"/>
    <n v="18.079999999999998"/>
  </r>
  <r>
    <n v="3635"/>
    <s v="D"/>
    <x v="2"/>
    <m/>
    <n v="100"/>
    <s v="Admn"/>
    <s v="Chch"/>
    <s v="Tereska Thornton"/>
    <x v="0"/>
    <s v="Mcpherson Grant"/>
    <x v="0"/>
    <n v="2.21"/>
    <n v="0.33"/>
    <n v="2.54"/>
  </r>
  <r>
    <n v="3635"/>
    <s v="D"/>
    <x v="2"/>
    <m/>
    <n v="100"/>
    <s v="Admn"/>
    <s v="Chch"/>
    <s v="Tereska Thornton"/>
    <x v="0"/>
    <s v="Mcpherson Grant"/>
    <x v="0"/>
    <n v="147"/>
    <n v="22.05"/>
    <n v="169.05"/>
  </r>
  <r>
    <n v="3635"/>
    <s v="D"/>
    <x v="2"/>
    <m/>
    <n v="110"/>
    <s v="Admn"/>
    <s v="Wgtn"/>
    <s v="Karim Dickie"/>
    <x v="1"/>
    <s v="Mcpherson Grant"/>
    <x v="1"/>
    <n v="12"/>
    <n v="1.8"/>
    <n v="13.8"/>
  </r>
  <r>
    <n v="3635"/>
    <s v="D"/>
    <x v="2"/>
    <m/>
    <n v="110"/>
    <s v="Admn"/>
    <s v="Wgtn"/>
    <s v="Karim Dickie"/>
    <x v="1"/>
    <s v="Mcpherson Grant"/>
    <x v="1"/>
    <n v="10.38"/>
    <n v="1.56"/>
    <n v="11.94"/>
  </r>
  <r>
    <n v="3635"/>
    <s v="D"/>
    <x v="2"/>
    <m/>
    <n v="110"/>
    <s v="Admn"/>
    <s v="Wgtn"/>
    <s v="Karim Dickie"/>
    <x v="1"/>
    <s v="Mcpherson Grant"/>
    <x v="1"/>
    <n v="0.68"/>
    <n v="0.1"/>
    <n v="0.78"/>
  </r>
  <r>
    <n v="3635"/>
    <s v="D"/>
    <x v="2"/>
    <m/>
    <n v="110"/>
    <s v="Admn"/>
    <s v="Wgtn"/>
    <s v="Karim Dickie"/>
    <x v="1"/>
    <s v="Mcpherson Grant"/>
    <x v="1"/>
    <n v="45"/>
    <n v="6.75"/>
    <n v="51.7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3605"/>
    <s v="D"/>
    <x v="0"/>
    <s v="Automated Line Item Fee"/>
    <n v="100"/>
    <s v="Admn"/>
    <s v="Wlg"/>
    <s v="Karim Dickie"/>
    <x v="0"/>
    <s v="Mcpherson Grant"/>
    <x v="0"/>
    <n v="0.5"/>
    <n v="0.08"/>
    <n v="0.57999999999999996"/>
  </r>
  <r>
    <n v="3605"/>
    <s v="D"/>
    <x v="0"/>
    <s v="Automated Line Item Fee"/>
    <n v="100"/>
    <s v="Admn"/>
    <s v="Wlg"/>
    <s v="Karim Dickie"/>
    <x v="0"/>
    <s v="Mcpherson Grant"/>
    <x v="0"/>
    <n v="0.5"/>
    <n v="0.08"/>
    <n v="0.57999999999999996"/>
  </r>
  <r>
    <n v="3605"/>
    <s v="D"/>
    <x v="0"/>
    <s v="Fee - Online Domestic"/>
    <n v="100"/>
    <s v="Admn"/>
    <s v="Wlg"/>
    <s v="Karim Dickie"/>
    <x v="0"/>
    <s v="Mcpherson Grant"/>
    <x v="0"/>
    <n v="5.85"/>
    <n v="0.88"/>
    <n v="6.73"/>
  </r>
  <r>
    <n v="3605"/>
    <s v="D"/>
    <x v="0"/>
    <s v="Amendment Fee - Domestic"/>
    <n v="100"/>
    <s v="Admn"/>
    <s v="Wlg"/>
    <s v="Karim Dickie"/>
    <x v="0"/>
    <s v="Mcpherson Grant"/>
    <x v="0"/>
    <n v="10"/>
    <n v="1.5"/>
    <n v="11.5"/>
  </r>
  <r>
    <n v="3605"/>
    <s v="D"/>
    <x v="0"/>
    <s v="Amendment Fee - Domestic"/>
    <n v="100"/>
    <s v="Adm"/>
    <s v="Wlg"/>
    <s v="Karim Dickie"/>
    <x v="1"/>
    <s v="Mcpherson Grant"/>
    <x v="1"/>
    <n v="10"/>
    <n v="1.5"/>
    <n v="11.5"/>
  </r>
  <r>
    <n v="3605"/>
    <s v="D"/>
    <x v="0"/>
    <s v="Amendment Fee - Domestic"/>
    <n v="100"/>
    <s v="Adm"/>
    <s v="Wlg"/>
    <s v="Karim Dickie"/>
    <x v="1"/>
    <s v="Mcpherson Grant"/>
    <x v="1"/>
    <n v="10"/>
    <n v="1.5"/>
    <n v="11.5"/>
  </r>
  <r>
    <n v="3605"/>
    <s v="D"/>
    <x v="0"/>
    <s v="Cancellation Fee Incl Gst"/>
    <n v="100"/>
    <s v="Adm"/>
    <s v="Wlg"/>
    <s v="Karim Dickie"/>
    <x v="1"/>
    <s v="Mcpherson Grant"/>
    <x v="1"/>
    <n v="10"/>
    <n v="1.5"/>
    <n v="11.5"/>
  </r>
  <r>
    <n v="3605"/>
    <s v="D"/>
    <x v="0"/>
    <s v="Fee - Online Domestic"/>
    <n v="100"/>
    <s v="Adm"/>
    <s v="Wlg"/>
    <s v="Karim Dickie"/>
    <x v="2"/>
    <s v="Mcpherson Grant"/>
    <x v="1"/>
    <n v="5.85"/>
    <n v="0.88"/>
    <n v="6.73"/>
  </r>
  <r>
    <n v="3605"/>
    <s v="D"/>
    <x v="0"/>
    <s v="Fee - Online Assisted Domestic"/>
    <n v="100"/>
    <s v="Admn"/>
    <s v="Wlg"/>
    <s v="Karim Dickie"/>
    <x v="3"/>
    <s v="Mcpherson Grant"/>
    <x v="2"/>
    <n v="16.850000000000001"/>
    <n v="2.5299999999999998"/>
    <n v="19.38"/>
  </r>
  <r>
    <n v="3605"/>
    <s v="D"/>
    <x v="0"/>
    <s v="Cancellation Fee Incl Gst"/>
    <n v="100"/>
    <s v="Admn"/>
    <s v="Wlg"/>
    <s v="Karim Dickie"/>
    <x v="3"/>
    <s v="Mcpherson Grant"/>
    <x v="2"/>
    <n v="10"/>
    <n v="1.5"/>
    <n v="11.5"/>
  </r>
  <r>
    <n v="3605"/>
    <s v="D"/>
    <x v="0"/>
    <s v="Fee - Online Domestic"/>
    <n v="100"/>
    <s v="Adm"/>
    <s v="Wgtn"/>
    <s v="Karim Dickie"/>
    <x v="4"/>
    <s v="Mcpherson Grant"/>
    <x v="3"/>
    <n v="5.85"/>
    <n v="0.88"/>
    <n v="6.73"/>
  </r>
  <r>
    <n v="3605"/>
    <s v="D"/>
    <x v="0"/>
    <s v="Amendment Fee - Domestic"/>
    <n v="100"/>
    <s v="Adm"/>
    <s v="Wgtn"/>
    <s v="Karim Dickie"/>
    <x v="4"/>
    <s v="Mcpherson Grant"/>
    <x v="3"/>
    <n v="10"/>
    <n v="1.5"/>
    <n v="11.5"/>
  </r>
  <r>
    <n v="3610"/>
    <s v="D"/>
    <x v="1"/>
    <m/>
    <n v="100"/>
    <s v="Admn"/>
    <s v="Wlg"/>
    <s v="Karim Dickie"/>
    <x v="0"/>
    <s v="Mcpherson Grant"/>
    <x v="0"/>
    <n v="311.23"/>
    <n v="46.68"/>
    <n v="357.91"/>
  </r>
  <r>
    <n v="3610"/>
    <s v="D"/>
    <x v="1"/>
    <m/>
    <n v="100"/>
    <s v="Adm"/>
    <s v="Wlg"/>
    <s v="Karim Dickie"/>
    <x v="1"/>
    <s v="Mcpherson Grant"/>
    <x v="1"/>
    <n v="59.04"/>
    <n v="8.86"/>
    <n v="67.900000000000006"/>
  </r>
  <r>
    <n v="3610"/>
    <s v="D"/>
    <x v="1"/>
    <m/>
    <n v="100"/>
    <s v="Adm"/>
    <s v="Wlg"/>
    <s v="Karim Dickie"/>
    <x v="1"/>
    <s v="Mcpherson Grant"/>
    <x v="1"/>
    <n v="-413.28"/>
    <n v="-61.99"/>
    <n v="-475.27"/>
  </r>
  <r>
    <n v="3610"/>
    <s v="D"/>
    <x v="1"/>
    <m/>
    <n v="100"/>
    <s v="Adm"/>
    <s v="Wlg"/>
    <s v="Karim Dickie"/>
    <x v="2"/>
    <s v="Mcpherson Grant"/>
    <x v="1"/>
    <n v="354.24"/>
    <n v="53.14"/>
    <n v="407.38"/>
  </r>
  <r>
    <n v="3610"/>
    <s v="D"/>
    <x v="1"/>
    <m/>
    <n v="100"/>
    <s v="Admn"/>
    <s v="Wlg"/>
    <s v="Karim Dickie"/>
    <x v="3"/>
    <s v="Mcpherson Grant"/>
    <x v="2"/>
    <n v="439.43"/>
    <n v="65.91"/>
    <n v="505.34"/>
  </r>
  <r>
    <n v="3610"/>
    <s v="D"/>
    <x v="1"/>
    <m/>
    <n v="100"/>
    <s v="Adm"/>
    <s v="Wgtn"/>
    <s v="Karim Dickie"/>
    <x v="4"/>
    <s v="Mcpherson Grant"/>
    <x v="3"/>
    <n v="304.19"/>
    <n v="45.63"/>
    <n v="349.82"/>
  </r>
  <r>
    <n v="3625"/>
    <s v="D"/>
    <x v="0"/>
    <s v="Charge Back - Domestic Car"/>
    <n v="100"/>
    <s v="Admn"/>
    <s v="Wlg"/>
    <s v="Karim Dickie"/>
    <x v="0"/>
    <s v="Mcpherson Grant"/>
    <x v="0"/>
    <n v="7.5"/>
    <n v="1.1299999999999999"/>
    <n v="8.6300000000000008"/>
  </r>
  <r>
    <n v="3635"/>
    <s v="D"/>
    <x v="2"/>
    <m/>
    <n v="100"/>
    <s v="Admn"/>
    <s v="Wlg"/>
    <s v="Karim Dickie"/>
    <x v="0"/>
    <s v="Mcpherson Grant"/>
    <x v="0"/>
    <n v="12"/>
    <n v="1.8"/>
    <n v="13.8"/>
  </r>
  <r>
    <n v="3635"/>
    <s v="D"/>
    <x v="2"/>
    <m/>
    <n v="100"/>
    <s v="Admn"/>
    <s v="Wlg"/>
    <s v="Karim Dickie"/>
    <x v="0"/>
    <s v="Mcpherson Grant"/>
    <x v="0"/>
    <n v="0.74"/>
    <n v="0.11"/>
    <n v="0.85"/>
  </r>
  <r>
    <n v="3635"/>
    <s v="D"/>
    <x v="2"/>
    <m/>
    <n v="100"/>
    <s v="Admn"/>
    <s v="Wlg"/>
    <s v="Karim Dickie"/>
    <x v="0"/>
    <s v="Mcpherson Grant"/>
    <x v="0"/>
    <n v="49"/>
    <n v="7.35"/>
    <n v="56.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98BE90-37B7-409F-81BA-C58AE9B66F08}"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7:D73" firstHeaderRow="1" firstDataRow="1" firstDataCol="3"/>
  <pivotFields count="14">
    <pivotField showAll="0"/>
    <pivotField showAll="0"/>
    <pivotField axis="axisRow" showAll="0">
      <items count="4">
        <item x="2"/>
        <item x="0"/>
        <item x="1"/>
        <item t="default"/>
      </items>
    </pivotField>
    <pivotField showAll="0"/>
    <pivotField showAll="0"/>
    <pivotField showAll="0"/>
    <pivotField showAll="0"/>
    <pivotField showAll="0"/>
    <pivotField axis="axisRow" numFmtId="14" outline="0" showAll="0" defaultSubtotal="0">
      <items count="2">
        <item x="1"/>
        <item x="0"/>
      </items>
    </pivotField>
    <pivotField showAll="0"/>
    <pivotField axis="axisRow" outline="0" showAll="0" defaultSubtotal="0">
      <items count="2">
        <item x="0"/>
        <item x="1"/>
      </items>
    </pivotField>
    <pivotField dataField="1" showAll="0"/>
    <pivotField showAll="0"/>
    <pivotField showAll="0"/>
  </pivotFields>
  <rowFields count="3">
    <field x="8"/>
    <field x="10"/>
    <field x="2"/>
  </rowFields>
  <rowItems count="6">
    <i>
      <x/>
      <x v="1"/>
      <x/>
    </i>
    <i r="2">
      <x v="1"/>
    </i>
    <i>
      <x v="1"/>
      <x/>
      <x/>
    </i>
    <i r="2">
      <x v="1"/>
    </i>
    <i r="2">
      <x v="2"/>
    </i>
    <i t="grand">
      <x/>
    </i>
  </rowItems>
  <colItems count="1">
    <i/>
  </colItems>
  <dataFields count="1">
    <dataField name="Sum of Net"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EC22DF0-8B38-43A3-AF7C-2C0D3FC9AEA5}"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8:D37" firstHeaderRow="1" firstDataRow="1" firstDataCol="3"/>
  <pivotFields count="12">
    <pivotField showAll="0"/>
    <pivotField showAll="0"/>
    <pivotField axis="axisRow" showAll="0">
      <items count="4">
        <item x="2"/>
        <item x="0"/>
        <item x="1"/>
        <item t="default"/>
      </items>
    </pivotField>
    <pivotField showAll="0"/>
    <pivotField showAll="0"/>
    <pivotField showAll="0"/>
    <pivotField showAll="0"/>
    <pivotField showAll="0"/>
    <pivotField axis="axisRow" numFmtId="14" outline="0" showAll="0" defaultSubtotal="0">
      <items count="4">
        <item x="3"/>
        <item x="0"/>
        <item x="1"/>
        <item x="2"/>
      </items>
    </pivotField>
    <pivotField showAll="0"/>
    <pivotField axis="axisRow" outline="0" showAll="0" defaultSubtotal="0">
      <items count="4">
        <item x="3"/>
        <item x="1"/>
        <item x="0"/>
        <item x="2"/>
      </items>
    </pivotField>
    <pivotField dataField="1" showAll="0"/>
  </pivotFields>
  <rowFields count="3">
    <field x="8"/>
    <field x="10"/>
    <field x="2"/>
  </rowFields>
  <rowItems count="9">
    <i>
      <x/>
      <x/>
      <x/>
    </i>
    <i r="2">
      <x v="1"/>
    </i>
    <i>
      <x v="1"/>
      <x v="2"/>
      <x v="1"/>
    </i>
    <i r="2">
      <x v="2"/>
    </i>
    <i>
      <x v="2"/>
      <x v="1"/>
      <x v="1"/>
    </i>
    <i r="2">
      <x v="2"/>
    </i>
    <i>
      <x v="3"/>
      <x v="3"/>
      <x v="1"/>
    </i>
    <i r="2">
      <x v="2"/>
    </i>
    <i t="grand">
      <x/>
    </i>
  </rowItems>
  <colItems count="1">
    <i/>
  </colItems>
  <dataFields count="1">
    <dataField name="Sum of Net" fld="11" baseField="0" baseItem="0"/>
  </dataFields>
  <formats count="9">
    <format dxfId="66">
      <pivotArea collapsedLevelsAreSubtotals="1" fieldPosition="0">
        <references count="3">
          <reference field="2" count="2">
            <x v="0"/>
            <x v="1"/>
          </reference>
          <reference field="8" count="1" selected="0">
            <x v="0"/>
          </reference>
          <reference field="10" count="1" selected="0">
            <x v="0"/>
          </reference>
        </references>
      </pivotArea>
    </format>
    <format dxfId="65">
      <pivotArea dataOnly="0" labelOnly="1" fieldPosition="0">
        <references count="1">
          <reference field="8" count="1">
            <x v="0"/>
          </reference>
        </references>
      </pivotArea>
    </format>
    <format dxfId="64">
      <pivotArea dataOnly="0" labelOnly="1" fieldPosition="0">
        <references count="2">
          <reference field="8" count="1" selected="0">
            <x v="0"/>
          </reference>
          <reference field="10" count="1">
            <x v="0"/>
          </reference>
        </references>
      </pivotArea>
    </format>
    <format dxfId="63">
      <pivotArea dataOnly="0" labelOnly="1" fieldPosition="0">
        <references count="3">
          <reference field="2" count="2">
            <x v="0"/>
            <x v="1"/>
          </reference>
          <reference field="8" count="1" selected="0">
            <x v="0"/>
          </reference>
          <reference field="10" count="1" selected="0">
            <x v="0"/>
          </reference>
        </references>
      </pivotArea>
    </format>
    <format dxfId="62">
      <pivotArea dataOnly="0" outline="0" fieldPosition="0">
        <references count="3">
          <reference field="2" count="0" defaultSubtotal="1" sumSubtotal="1" countASubtotal="1" avgSubtotal="1" maxSubtotal="1" minSubtotal="1" productSubtotal="1" countSubtotal="1" stdDevSubtotal="1" stdDevPSubtotal="1" varSubtotal="1" varPSubtotal="1"/>
          <reference field="8" count="1">
            <x v="1"/>
          </reference>
          <reference field="10" count="0" defaultSubtotal="1" sumSubtotal="1" countASubtotal="1" avgSubtotal="1" maxSubtotal="1" minSubtotal="1" productSubtotal="1" countSubtotal="1" stdDevSubtotal="1" stdDevPSubtotal="1" varSubtotal="1" varPSubtotal="1"/>
        </references>
      </pivotArea>
    </format>
    <format dxfId="61">
      <pivotArea collapsedLevelsAreSubtotals="1" fieldPosition="0">
        <references count="3">
          <reference field="2" count="2">
            <x v="1"/>
            <x v="2"/>
          </reference>
          <reference field="8" count="1" selected="0">
            <x v="2"/>
          </reference>
          <reference field="10" count="1" selected="0">
            <x v="1"/>
          </reference>
        </references>
      </pivotArea>
    </format>
    <format dxfId="60">
      <pivotArea dataOnly="0" labelOnly="1" fieldPosition="0">
        <references count="1">
          <reference field="8" count="1">
            <x v="2"/>
          </reference>
        </references>
      </pivotArea>
    </format>
    <format dxfId="59">
      <pivotArea dataOnly="0" labelOnly="1" fieldPosition="0">
        <references count="2">
          <reference field="8" count="1" selected="0">
            <x v="2"/>
          </reference>
          <reference field="10" count="1">
            <x v="1"/>
          </reference>
        </references>
      </pivotArea>
    </format>
    <format dxfId="58">
      <pivotArea dataOnly="0" labelOnly="1" fieldPosition="0">
        <references count="3">
          <reference field="2" count="2">
            <x v="1"/>
            <x v="2"/>
          </reference>
          <reference field="8" count="1" selected="0">
            <x v="2"/>
          </reference>
          <reference field="10"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C367CDF-E715-4853-95FC-AA9396C5FFE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8:D73" firstHeaderRow="1" firstDataRow="1" firstDataCol="3"/>
  <pivotFields count="14">
    <pivotField axis="axisRow" showAll="0">
      <items count="7">
        <item x="0"/>
        <item x="2"/>
        <item x="3"/>
        <item x="4"/>
        <item x="5"/>
        <item x="1"/>
        <item t="default"/>
      </items>
    </pivotField>
    <pivotField showAll="0"/>
    <pivotField showAll="0"/>
    <pivotField showAll="0"/>
    <pivotField showAll="0"/>
    <pivotField showAll="0"/>
    <pivotField showAll="0"/>
    <pivotField showAll="0"/>
    <pivotField axis="axisRow" numFmtId="14" outline="0" showAll="0" defaultSubtotal="0">
      <items count="7">
        <item x="6"/>
        <item x="0"/>
        <item x="1"/>
        <item x="2"/>
        <item x="3"/>
        <item x="4"/>
        <item x="5"/>
      </items>
    </pivotField>
    <pivotField showAll="0"/>
    <pivotField axis="axisRow" outline="0" showAll="0" defaultSubtotal="0">
      <items count="8">
        <item m="1" x="6"/>
        <item m="1" x="7"/>
        <item x="2"/>
        <item x="0"/>
        <item x="1"/>
        <item x="3"/>
        <item x="4"/>
        <item x="5"/>
      </items>
    </pivotField>
    <pivotField dataField="1" showAll="0"/>
    <pivotField showAll="0"/>
    <pivotField showAll="0"/>
  </pivotFields>
  <rowFields count="3">
    <field x="8"/>
    <field x="10"/>
    <field x="0"/>
  </rowFields>
  <rowItems count="15">
    <i>
      <x/>
      <x v="4"/>
      <x v="4"/>
    </i>
    <i>
      <x v="1"/>
      <x v="3"/>
      <x/>
    </i>
    <i r="2">
      <x v="4"/>
    </i>
    <i>
      <x v="2"/>
      <x v="4"/>
      <x/>
    </i>
    <i r="2">
      <x v="4"/>
    </i>
    <i>
      <x v="3"/>
      <x v="2"/>
      <x/>
    </i>
    <i r="2">
      <x v="1"/>
    </i>
    <i r="2">
      <x v="2"/>
    </i>
    <i r="2">
      <x v="3"/>
    </i>
    <i>
      <x v="4"/>
      <x v="5"/>
      <x/>
    </i>
    <i r="2">
      <x v="1"/>
    </i>
    <i>
      <x v="5"/>
      <x v="6"/>
      <x/>
    </i>
    <i r="2">
      <x v="1"/>
    </i>
    <i>
      <x v="6"/>
      <x v="7"/>
      <x v="5"/>
    </i>
    <i t="grand">
      <x/>
    </i>
  </rowItems>
  <colItems count="1">
    <i/>
  </colItems>
  <dataFields count="1">
    <dataField name="Sum of Net" fld="11" baseField="0" baseItem="0" numFmtId="43"/>
  </dataFields>
  <formats count="31">
    <format dxfId="57">
      <pivotArea outline="0" collapsedLevelsAreSubtotals="1" fieldPosition="0"/>
    </format>
    <format dxfId="56">
      <pivotArea collapsedLevelsAreSubtotals="1" fieldPosition="0">
        <references count="3">
          <reference field="0" count="2">
            <x v="0"/>
            <x v="1"/>
          </reference>
          <reference field="8" count="1" selected="0">
            <x v="4"/>
          </reference>
          <reference field="10" count="1" selected="0">
            <x v="1"/>
          </reference>
        </references>
      </pivotArea>
    </format>
    <format dxfId="55">
      <pivotArea collapsedLevelsAreSubtotals="1" fieldPosition="0">
        <references count="3">
          <reference field="0" count="2">
            <x v="0"/>
            <x v="1"/>
          </reference>
          <reference field="8" count="1" selected="0">
            <x v="5"/>
          </reference>
          <reference field="10" count="1" selected="0">
            <x v="0"/>
          </reference>
        </references>
      </pivotArea>
    </format>
    <format dxfId="54">
      <pivotArea dataOnly="0" labelOnly="1" fieldPosition="0">
        <references count="1">
          <reference field="8" count="2">
            <x v="4"/>
            <x v="5"/>
          </reference>
        </references>
      </pivotArea>
    </format>
    <format dxfId="53">
      <pivotArea dataOnly="0" labelOnly="1" fieldPosition="0">
        <references count="2">
          <reference field="8" count="1" selected="0">
            <x v="4"/>
          </reference>
          <reference field="10" count="1">
            <x v="1"/>
          </reference>
        </references>
      </pivotArea>
    </format>
    <format dxfId="52">
      <pivotArea dataOnly="0" labelOnly="1" fieldPosition="0">
        <references count="2">
          <reference field="8" count="1" selected="0">
            <x v="5"/>
          </reference>
          <reference field="10" count="1">
            <x v="0"/>
          </reference>
        </references>
      </pivotArea>
    </format>
    <format dxfId="51">
      <pivotArea dataOnly="0" labelOnly="1" fieldPosition="0">
        <references count="3">
          <reference field="0" count="2">
            <x v="0"/>
            <x v="1"/>
          </reference>
          <reference field="8" count="1" selected="0">
            <x v="4"/>
          </reference>
          <reference field="10" count="1" selected="0">
            <x v="1"/>
          </reference>
        </references>
      </pivotArea>
    </format>
    <format dxfId="50">
      <pivotArea dataOnly="0" labelOnly="1" fieldPosition="0">
        <references count="3">
          <reference field="0" count="2">
            <x v="0"/>
            <x v="1"/>
          </reference>
          <reference field="8" count="1" selected="0">
            <x v="5"/>
          </reference>
          <reference field="10" count="1" selected="0">
            <x v="0"/>
          </reference>
        </references>
      </pivotArea>
    </format>
    <format dxfId="49">
      <pivotArea collapsedLevelsAreSubtotals="1" fieldPosition="0">
        <references count="3">
          <reference field="0" count="2">
            <x v="0"/>
            <x v="1"/>
          </reference>
          <reference field="8" count="1" selected="0">
            <x v="4"/>
          </reference>
          <reference field="10" count="1" selected="0">
            <x v="1"/>
          </reference>
        </references>
      </pivotArea>
    </format>
    <format dxfId="48">
      <pivotArea collapsedLevelsAreSubtotals="1" fieldPosition="0">
        <references count="3">
          <reference field="0" count="2">
            <x v="0"/>
            <x v="1"/>
          </reference>
          <reference field="8" count="1" selected="0">
            <x v="5"/>
          </reference>
          <reference field="10" count="1" selected="0">
            <x v="0"/>
          </reference>
        </references>
      </pivotArea>
    </format>
    <format dxfId="47">
      <pivotArea dataOnly="0" labelOnly="1" fieldPosition="0">
        <references count="2">
          <reference field="8" count="1" selected="0">
            <x v="4"/>
          </reference>
          <reference field="10" count="1">
            <x v="1"/>
          </reference>
        </references>
      </pivotArea>
    </format>
    <format dxfId="46">
      <pivotArea dataOnly="0" labelOnly="1" fieldPosition="0">
        <references count="2">
          <reference field="8" count="1" selected="0">
            <x v="5"/>
          </reference>
          <reference field="10" count="1">
            <x v="0"/>
          </reference>
        </references>
      </pivotArea>
    </format>
    <format dxfId="45">
      <pivotArea dataOnly="0" labelOnly="1" fieldPosition="0">
        <references count="3">
          <reference field="0" count="2">
            <x v="0"/>
            <x v="1"/>
          </reference>
          <reference field="8" count="1" selected="0">
            <x v="4"/>
          </reference>
          <reference field="10" count="1" selected="0">
            <x v="1"/>
          </reference>
        </references>
      </pivotArea>
    </format>
    <format dxfId="44">
      <pivotArea dataOnly="0" labelOnly="1" fieldPosition="0">
        <references count="3">
          <reference field="0" count="2">
            <x v="0"/>
            <x v="1"/>
          </reference>
          <reference field="8" count="1" selected="0">
            <x v="5"/>
          </reference>
          <reference field="10" count="1" selected="0">
            <x v="0"/>
          </reference>
        </references>
      </pivotArea>
    </format>
    <format dxfId="43">
      <pivotArea collapsedLevelsAreSubtotals="1" fieldPosition="0">
        <references count="3">
          <reference field="0" count="1">
            <x v="4"/>
          </reference>
          <reference field="8" count="1" selected="0">
            <x v="0"/>
          </reference>
          <reference field="10" count="1" selected="0">
            <x v="4"/>
          </reference>
        </references>
      </pivotArea>
    </format>
    <format dxfId="42">
      <pivotArea dataOnly="0" labelOnly="1" fieldPosition="0">
        <references count="1">
          <reference field="8" count="1">
            <x v="0"/>
          </reference>
        </references>
      </pivotArea>
    </format>
    <format dxfId="41">
      <pivotArea dataOnly="0" labelOnly="1" fieldPosition="0">
        <references count="2">
          <reference field="8" count="1" selected="0">
            <x v="0"/>
          </reference>
          <reference field="10" count="1">
            <x v="4"/>
          </reference>
        </references>
      </pivotArea>
    </format>
    <format dxfId="40">
      <pivotArea dataOnly="0" labelOnly="1" fieldPosition="0">
        <references count="3">
          <reference field="0" count="1">
            <x v="4"/>
          </reference>
          <reference field="8" count="1" selected="0">
            <x v="0"/>
          </reference>
          <reference field="10" count="1" selected="0">
            <x v="4"/>
          </reference>
        </references>
      </pivotArea>
    </format>
    <format dxfId="39">
      <pivotArea collapsedLevelsAreSubtotals="1" fieldPosition="0">
        <references count="3">
          <reference field="0" count="2">
            <x v="0"/>
            <x v="1"/>
          </reference>
          <reference field="8" count="1" selected="0">
            <x v="4"/>
          </reference>
          <reference field="10" count="1" selected="0">
            <x v="5"/>
          </reference>
        </references>
      </pivotArea>
    </format>
    <format dxfId="38">
      <pivotArea collapsedLevelsAreSubtotals="1" fieldPosition="0">
        <references count="3">
          <reference field="0" count="2">
            <x v="0"/>
            <x v="1"/>
          </reference>
          <reference field="8" count="1" selected="0">
            <x v="5"/>
          </reference>
          <reference field="10" count="1" selected="0">
            <x v="6"/>
          </reference>
        </references>
      </pivotArea>
    </format>
    <format dxfId="37">
      <pivotArea dataOnly="0" labelOnly="1" fieldPosition="0">
        <references count="2">
          <reference field="8" count="1" selected="0">
            <x v="4"/>
          </reference>
          <reference field="10" count="1">
            <x v="5"/>
          </reference>
        </references>
      </pivotArea>
    </format>
    <format dxfId="36">
      <pivotArea dataOnly="0" labelOnly="1" fieldPosition="0">
        <references count="2">
          <reference field="8" count="1" selected="0">
            <x v="5"/>
          </reference>
          <reference field="10" count="1">
            <x v="6"/>
          </reference>
        </references>
      </pivotArea>
    </format>
    <format dxfId="35">
      <pivotArea dataOnly="0" labelOnly="1" fieldPosition="0">
        <references count="3">
          <reference field="0" count="2">
            <x v="0"/>
            <x v="1"/>
          </reference>
          <reference field="8" count="1" selected="0">
            <x v="4"/>
          </reference>
          <reference field="10" count="1" selected="0">
            <x v="5"/>
          </reference>
        </references>
      </pivotArea>
    </format>
    <format dxfId="34">
      <pivotArea dataOnly="0" labelOnly="1" fieldPosition="0">
        <references count="3">
          <reference field="0" count="2">
            <x v="0"/>
            <x v="1"/>
          </reference>
          <reference field="8" count="1" selected="0">
            <x v="5"/>
          </reference>
          <reference field="10" count="1" selected="0">
            <x v="6"/>
          </reference>
        </references>
      </pivotArea>
    </format>
    <format dxfId="33">
      <pivotArea collapsedLevelsAreSubtotals="1" fieldPosition="0">
        <references count="3">
          <reference field="0" count="2">
            <x v="0"/>
            <x v="1"/>
          </reference>
          <reference field="8" count="1" selected="0">
            <x v="4"/>
          </reference>
          <reference field="10" count="1" selected="0">
            <x v="5"/>
          </reference>
        </references>
      </pivotArea>
    </format>
    <format dxfId="32">
      <pivotArea collapsedLevelsAreSubtotals="1" fieldPosition="0">
        <references count="3">
          <reference field="0" count="2">
            <x v="0"/>
            <x v="1"/>
          </reference>
          <reference field="8" count="1" selected="0">
            <x v="5"/>
          </reference>
          <reference field="10" count="1" selected="0">
            <x v="6"/>
          </reference>
        </references>
      </pivotArea>
    </format>
    <format dxfId="31">
      <pivotArea dataOnly="0" labelOnly="1" fieldPosition="0">
        <references count="1">
          <reference field="8" count="2">
            <x v="4"/>
            <x v="5"/>
          </reference>
        </references>
      </pivotArea>
    </format>
    <format dxfId="30">
      <pivotArea dataOnly="0" labelOnly="1" fieldPosition="0">
        <references count="2">
          <reference field="8" count="1" selected="0">
            <x v="4"/>
          </reference>
          <reference field="10" count="1">
            <x v="5"/>
          </reference>
        </references>
      </pivotArea>
    </format>
    <format dxfId="29">
      <pivotArea dataOnly="0" labelOnly="1" fieldPosition="0">
        <references count="2">
          <reference field="8" count="1" selected="0">
            <x v="5"/>
          </reference>
          <reference field="10" count="1">
            <x v="6"/>
          </reference>
        </references>
      </pivotArea>
    </format>
    <format dxfId="28">
      <pivotArea dataOnly="0" labelOnly="1" fieldPosition="0">
        <references count="3">
          <reference field="0" count="2">
            <x v="0"/>
            <x v="1"/>
          </reference>
          <reference field="8" count="1" selected="0">
            <x v="4"/>
          </reference>
          <reference field="10" count="1" selected="0">
            <x v="5"/>
          </reference>
        </references>
      </pivotArea>
    </format>
    <format dxfId="27">
      <pivotArea dataOnly="0" labelOnly="1" fieldPosition="0">
        <references count="3">
          <reference field="0" count="2">
            <x v="0"/>
            <x v="1"/>
          </reference>
          <reference field="8" count="1" selected="0">
            <x v="5"/>
          </reference>
          <reference field="10"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B39CEDD-47C7-4D1C-AF3A-4AA03C7D3D7F}"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94:D115" firstHeaderRow="1" firstDataRow="1" firstDataCol="3"/>
  <pivotFields count="14">
    <pivotField axis="axisRow" showAll="0">
      <items count="7">
        <item x="0"/>
        <item x="1"/>
        <item x="2"/>
        <item x="3"/>
        <item x="4"/>
        <item x="5"/>
        <item t="default"/>
      </items>
    </pivotField>
    <pivotField showAll="0"/>
    <pivotField showAll="0"/>
    <pivotField showAll="0"/>
    <pivotField showAll="0"/>
    <pivotField showAll="0"/>
    <pivotField showAll="0"/>
    <pivotField showAll="0"/>
    <pivotField axis="axisRow" numFmtId="14" outline="0" showAll="0" defaultSubtotal="0">
      <items count="6">
        <item x="0"/>
        <item x="1"/>
        <item x="2"/>
        <item x="3"/>
        <item x="4"/>
        <item x="5"/>
      </items>
    </pivotField>
    <pivotField showAll="0"/>
    <pivotField axis="axisRow" outline="0" showAll="0" defaultSubtotal="0">
      <items count="11">
        <item x="0"/>
        <item m="1" x="10"/>
        <item x="7"/>
        <item x="6"/>
        <item x="2"/>
        <item x="4"/>
        <item m="1" x="9"/>
        <item x="3"/>
        <item m="1" x="8"/>
        <item n="Attend the Destination Auckalnd Industry Leaders meeting in Auckland and meeting with universities representatives in Christchurch and Dunedin" x="1"/>
        <item n="Attend the NZ Story Board meeting" x="5"/>
      </items>
    </pivotField>
    <pivotField dataField="1" showAll="0"/>
    <pivotField showAll="0"/>
    <pivotField showAll="0"/>
  </pivotFields>
  <rowFields count="3">
    <field x="8"/>
    <field x="10"/>
    <field x="0"/>
  </rowFields>
  <rowItems count="21">
    <i>
      <x/>
      <x/>
      <x/>
    </i>
    <i r="2">
      <x v="1"/>
    </i>
    <i r="2">
      <x v="3"/>
    </i>
    <i>
      <x v="1"/>
      <x v="9"/>
      <x/>
    </i>
    <i r="2">
      <x v="1"/>
    </i>
    <i r="2">
      <x v="2"/>
    </i>
    <i r="2">
      <x v="3"/>
    </i>
    <i>
      <x v="2"/>
      <x v="4"/>
      <x/>
    </i>
    <i r="2">
      <x v="4"/>
    </i>
    <i r="2">
      <x v="5"/>
    </i>
    <i>
      <x v="3"/>
      <x v="5"/>
      <x/>
    </i>
    <i r="1">
      <x v="7"/>
      <x/>
    </i>
    <i r="1">
      <x v="10"/>
      <x/>
    </i>
    <i r="2">
      <x v="1"/>
    </i>
    <i r="2">
      <x v="3"/>
    </i>
    <i>
      <x v="4"/>
      <x v="3"/>
      <x/>
    </i>
    <i r="2">
      <x v="1"/>
    </i>
    <i r="1">
      <x v="5"/>
      <x/>
    </i>
    <i>
      <x v="5"/>
      <x v="2"/>
      <x/>
    </i>
    <i r="2">
      <x v="4"/>
    </i>
    <i t="grand">
      <x/>
    </i>
  </rowItems>
  <colItems count="1">
    <i/>
  </colItems>
  <dataFields count="1">
    <dataField name="Sum of Net" fld="11" baseField="0" baseItem="0" numFmtId="43"/>
  </dataFields>
  <formats count="3">
    <format dxfId="26">
      <pivotArea outline="0" collapsedLevelsAreSubtotals="1" fieldPosition="0"/>
    </format>
    <format dxfId="25">
      <pivotArea dataOnly="0" labelOnly="1" outline="0" axis="axisValues" fieldPosition="0"/>
    </format>
    <format dxfId="24">
      <pivotArea dataOnly="0" outline="0" fieldPosition="0">
        <references count="3">
          <reference field="0" count="0" defaultSubtotal="1" sumSubtotal="1" countASubtotal="1" avgSubtotal="1" maxSubtotal="1" minSubtotal="1" productSubtotal="1" countSubtotal="1" stdDevSubtotal="1" stdDevPSubtotal="1" varSubtotal="1" varPSubtotal="1"/>
          <reference field="8" count="1">
            <x v="5"/>
          </reference>
          <reference field="10" count="0" defaultSubtotal="1" sumSubtotal="1" countASubtotal="1" avgSubtotal="1" maxSubtotal="1" minSubtotal="1" productSubtotal="1" countSubtotal="1" stdDevSubtotal="1" stdDevPSubtotal="1" varSubtotal="1" varPSubtotal="1"/>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B82DC7A-1E65-4256-AE74-211F3299F62F}"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C48" firstHeaderRow="1" firstDataRow="1" firstDataCol="2"/>
  <pivotFields count="14">
    <pivotField axis="axisRow" showAll="0">
      <items count="5">
        <item x="0"/>
        <item x="1"/>
        <item x="2"/>
        <item x="3"/>
        <item t="default"/>
      </items>
    </pivotField>
    <pivotField showAll="0"/>
    <pivotField showAll="0"/>
    <pivotField showAll="0"/>
    <pivotField showAll="0"/>
    <pivotField showAll="0"/>
    <pivotField showAll="0"/>
    <pivotField showAll="0"/>
    <pivotField axis="axisRow" numFmtId="14" outline="0" showAll="0" defaultSubtotal="0">
      <items count="3">
        <item x="0"/>
        <item x="1"/>
        <item x="2"/>
      </items>
    </pivotField>
    <pivotField showAll="0"/>
    <pivotField axis="axisRow" showAll="0">
      <items count="4">
        <item x="2"/>
        <item x="0"/>
        <item x="1"/>
        <item t="default"/>
      </items>
    </pivotField>
    <pivotField dataField="1" showAll="0"/>
    <pivotField showAll="0"/>
    <pivotField showAll="0"/>
  </pivotFields>
  <rowFields count="3">
    <field x="8"/>
    <field x="10"/>
    <field x="0"/>
  </rowFields>
  <rowItems count="11">
    <i>
      <x/>
      <x v="1"/>
    </i>
    <i r="2">
      <x/>
    </i>
    <i r="2">
      <x v="1"/>
    </i>
    <i r="2">
      <x v="2"/>
    </i>
    <i>
      <x v="1"/>
      <x v="2"/>
    </i>
    <i r="2">
      <x/>
    </i>
    <i r="2">
      <x v="1"/>
    </i>
    <i>
      <x v="2"/>
      <x/>
    </i>
    <i r="2">
      <x/>
    </i>
    <i r="2">
      <x v="3"/>
    </i>
    <i t="grand">
      <x/>
    </i>
  </rowItems>
  <colItems count="1">
    <i/>
  </colItems>
  <dataFields count="1">
    <dataField name="Sum of Net" fld="11" baseField="0" baseItem="0" numFmtId="43"/>
  </data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353C29A-BC28-4389-885E-0DEFA80C5F9A}" name="PivotTable1" cacheId="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28:D40" firstHeaderRow="1" firstDataRow="1" firstDataCol="3"/>
  <pivotFields count="14">
    <pivotField showAll="0"/>
    <pivotField showAll="0"/>
    <pivotField axis="axisRow" showAll="0">
      <items count="4">
        <item x="2"/>
        <item x="0"/>
        <item x="1"/>
        <item t="default"/>
      </items>
    </pivotField>
    <pivotField showAll="0"/>
    <pivotField showAll="0"/>
    <pivotField showAll="0"/>
    <pivotField showAll="0"/>
    <pivotField showAll="0"/>
    <pivotField axis="axisRow" numFmtId="14" outline="0" showAll="0" defaultSubtotal="0">
      <items count="5">
        <item x="0"/>
        <item x="1"/>
        <item x="2"/>
        <item x="3"/>
        <item x="4"/>
      </items>
    </pivotField>
    <pivotField showAll="0"/>
    <pivotField axis="axisRow" outline="0" showAll="0" defaultSubtotal="0">
      <items count="4">
        <item x="1"/>
        <item x="0"/>
        <item x="3"/>
        <item x="2"/>
      </items>
    </pivotField>
    <pivotField dataField="1" showAll="0"/>
    <pivotField showAll="0"/>
    <pivotField showAll="0"/>
  </pivotFields>
  <rowFields count="3">
    <field x="8"/>
    <field x="10"/>
    <field x="2"/>
  </rowFields>
  <rowItems count="12">
    <i>
      <x/>
      <x v="1"/>
      <x/>
    </i>
    <i r="2">
      <x v="1"/>
    </i>
    <i r="2">
      <x v="2"/>
    </i>
    <i>
      <x v="1"/>
      <x/>
      <x v="1"/>
    </i>
    <i r="2">
      <x v="2"/>
    </i>
    <i>
      <x v="2"/>
      <x/>
      <x v="1"/>
    </i>
    <i r="2">
      <x v="2"/>
    </i>
    <i>
      <x v="3"/>
      <x v="3"/>
      <x v="1"/>
    </i>
    <i r="2">
      <x v="2"/>
    </i>
    <i>
      <x v="4"/>
      <x v="2"/>
      <x v="1"/>
    </i>
    <i r="2">
      <x v="2"/>
    </i>
    <i t="grand">
      <x/>
    </i>
  </rowItems>
  <colItems count="1">
    <i/>
  </colItems>
  <dataFields count="1">
    <dataField name="Sum of Net" fld="11" baseField="0" baseItem="0"/>
  </dataFields>
  <formats count="19">
    <format dxfId="22">
      <pivotArea dataOnly="0" outline="0" fieldPosition="0">
        <references count="3">
          <reference field="2" count="0" defaultSubtotal="1" sumSubtotal="1" countASubtotal="1" avgSubtotal="1" maxSubtotal="1" minSubtotal="1" productSubtotal="1" countSubtotal="1" stdDevSubtotal="1" stdDevPSubtotal="1" varSubtotal="1" varPSubtotal="1"/>
          <reference field="8" count="1">
            <x v="0"/>
          </reference>
          <reference field="10" count="0" defaultSubtotal="1" sumSubtotal="1" countASubtotal="1" avgSubtotal="1" maxSubtotal="1" minSubtotal="1" productSubtotal="1" countSubtotal="1" stdDevSubtotal="1" stdDevPSubtotal="1" varSubtotal="1" varPSubtotal="1"/>
        </references>
      </pivotArea>
    </format>
    <format dxfId="21">
      <pivotArea collapsedLevelsAreSubtotals="1" fieldPosition="0">
        <references count="3">
          <reference field="2" count="2">
            <x v="1"/>
            <x v="2"/>
          </reference>
          <reference field="8" count="1" selected="0">
            <x v="1"/>
          </reference>
          <reference field="10" count="1" selected="0">
            <x v="0"/>
          </reference>
        </references>
      </pivotArea>
    </format>
    <format dxfId="20">
      <pivotArea collapsedLevelsAreSubtotals="1" fieldPosition="0">
        <references count="3">
          <reference field="2" count="2">
            <x v="1"/>
            <x v="2"/>
          </reference>
          <reference field="8" count="1" selected="0">
            <x v="2"/>
          </reference>
          <reference field="10" count="1" selected="0">
            <x v="0"/>
          </reference>
        </references>
      </pivotArea>
    </format>
    <format dxfId="19">
      <pivotArea dataOnly="0" labelOnly="1" fieldPosition="0">
        <references count="1">
          <reference field="8" count="2">
            <x v="1"/>
            <x v="2"/>
          </reference>
        </references>
      </pivotArea>
    </format>
    <format dxfId="18">
      <pivotArea dataOnly="0" labelOnly="1" fieldPosition="0">
        <references count="2">
          <reference field="8" count="1" selected="0">
            <x v="1"/>
          </reference>
          <reference field="10" count="1">
            <x v="0"/>
          </reference>
        </references>
      </pivotArea>
    </format>
    <format dxfId="17">
      <pivotArea dataOnly="0" labelOnly="1" fieldPosition="0">
        <references count="3">
          <reference field="2" count="2">
            <x v="1"/>
            <x v="2"/>
          </reference>
          <reference field="8" count="1" selected="0">
            <x v="1"/>
          </reference>
          <reference field="10" count="1" selected="0">
            <x v="0"/>
          </reference>
        </references>
      </pivotArea>
    </format>
    <format dxfId="16">
      <pivotArea dataOnly="0" labelOnly="1" fieldPosition="0">
        <references count="3">
          <reference field="2" count="2">
            <x v="1"/>
            <x v="2"/>
          </reference>
          <reference field="8" count="1" selected="0">
            <x v="2"/>
          </reference>
          <reference field="10" count="1" selected="0">
            <x v="0"/>
          </reference>
        </references>
      </pivotArea>
    </format>
    <format dxfId="15">
      <pivotArea collapsedLevelsAreSubtotals="1" fieldPosition="0">
        <references count="3">
          <reference field="2" count="2">
            <x v="1"/>
            <x v="2"/>
          </reference>
          <reference field="8" count="1" selected="0">
            <x v="3"/>
          </reference>
          <reference field="10" count="1" selected="0">
            <x v="3"/>
          </reference>
        </references>
      </pivotArea>
    </format>
    <format dxfId="14">
      <pivotArea dataOnly="0" labelOnly="1" fieldPosition="0">
        <references count="1">
          <reference field="8" count="1">
            <x v="3"/>
          </reference>
        </references>
      </pivotArea>
    </format>
    <format dxfId="13">
      <pivotArea dataOnly="0" labelOnly="1" fieldPosition="0">
        <references count="2">
          <reference field="8" count="1" selected="0">
            <x v="3"/>
          </reference>
          <reference field="10" count="1">
            <x v="3"/>
          </reference>
        </references>
      </pivotArea>
    </format>
    <format dxfId="12">
      <pivotArea dataOnly="0" labelOnly="1" fieldPosition="0">
        <references count="3">
          <reference field="2" count="2">
            <x v="1"/>
            <x v="2"/>
          </reference>
          <reference field="8" count="1" selected="0">
            <x v="3"/>
          </reference>
          <reference field="10" count="1" selected="0">
            <x v="3"/>
          </reference>
        </references>
      </pivotArea>
    </format>
    <format dxfId="11">
      <pivotArea dataOnly="0" outline="0" fieldPosition="0">
        <references count="3">
          <reference field="2" count="0" defaultSubtotal="1" sumSubtotal="1" countASubtotal="1" avgSubtotal="1" maxSubtotal="1" minSubtotal="1" productSubtotal="1" countSubtotal="1" stdDevSubtotal="1" stdDevPSubtotal="1" varSubtotal="1" varPSubtotal="1"/>
          <reference field="8" count="2">
            <x v="1"/>
            <x v="2"/>
          </reference>
          <reference field="10" count="0" defaultSubtotal="1" sumSubtotal="1" countASubtotal="1" avgSubtotal="1" maxSubtotal="1" minSubtotal="1" productSubtotal="1" countSubtotal="1" stdDevSubtotal="1" stdDevPSubtotal="1" varSubtotal="1" varPSubtotal="1"/>
        </references>
      </pivotArea>
    </format>
    <format dxfId="10">
      <pivotArea dataOnly="0" outline="0" fieldPosition="0">
        <references count="3">
          <reference field="2" count="0" defaultSubtotal="1" sumSubtotal="1" countASubtotal="1" avgSubtotal="1" maxSubtotal="1" minSubtotal="1" productSubtotal="1" countSubtotal="1" stdDevSubtotal="1" stdDevPSubtotal="1" varSubtotal="1" varPSubtotal="1"/>
          <reference field="8" count="1">
            <x v="3"/>
          </reference>
          <reference field="10" count="0" defaultSubtotal="1" sumSubtotal="1" countASubtotal="1" avgSubtotal="1" maxSubtotal="1" minSubtotal="1" productSubtotal="1" countSubtotal="1" stdDevSubtotal="1" stdDevPSubtotal="1" varSubtotal="1" varPSubtotal="1"/>
        </references>
      </pivotArea>
    </format>
    <format dxfId="9">
      <pivotArea collapsedLevelsAreSubtotals="1" fieldPosition="0">
        <references count="3">
          <reference field="2" count="2">
            <x v="1"/>
            <x v="2"/>
          </reference>
          <reference field="8" count="1" selected="0">
            <x v="1"/>
          </reference>
          <reference field="10" count="1" selected="0">
            <x v="0"/>
          </reference>
        </references>
      </pivotArea>
    </format>
    <format dxfId="8">
      <pivotArea collapsedLevelsAreSubtotals="1" fieldPosition="0">
        <references count="3">
          <reference field="2" count="2">
            <x v="1"/>
            <x v="2"/>
          </reference>
          <reference field="8" count="1" selected="0">
            <x v="2"/>
          </reference>
          <reference field="10" count="1" selected="0">
            <x v="0"/>
          </reference>
        </references>
      </pivotArea>
    </format>
    <format dxfId="7">
      <pivotArea dataOnly="0" labelOnly="1" fieldPosition="0">
        <references count="1">
          <reference field="8" count="2">
            <x v="1"/>
            <x v="2"/>
          </reference>
        </references>
      </pivotArea>
    </format>
    <format dxfId="6">
      <pivotArea dataOnly="0" labelOnly="1" fieldPosition="0">
        <references count="2">
          <reference field="8" count="1" selected="0">
            <x v="1"/>
          </reference>
          <reference field="10" count="1">
            <x v="0"/>
          </reference>
        </references>
      </pivotArea>
    </format>
    <format dxfId="5">
      <pivotArea dataOnly="0" labelOnly="1" fieldPosition="0">
        <references count="3">
          <reference field="2" count="2">
            <x v="1"/>
            <x v="2"/>
          </reference>
          <reference field="8" count="1" selected="0">
            <x v="1"/>
          </reference>
          <reference field="10" count="1" selected="0">
            <x v="0"/>
          </reference>
        </references>
      </pivotArea>
    </format>
    <format dxfId="4">
      <pivotArea dataOnly="0" labelOnly="1" fieldPosition="0">
        <references count="3">
          <reference field="2" count="2">
            <x v="1"/>
            <x v="2"/>
          </reference>
          <reference field="8" count="1" selected="0">
            <x v="2"/>
          </reference>
          <reference field="10"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C2039-C4DB-4E5F-99C6-80ADE98729BE}" name="Table1" displayName="Table1" ref="A1:S23" totalsRowCount="1">
  <autoFilter ref="A1:S22" xr:uid="{00000000-0009-0000-0100-000001000000}"/>
  <tableColumns count="19">
    <tableColumn id="1" xr3:uid="{AA62400E-AC35-42A1-BA28-14C5E0873671}" name="Comment" totalsRowCellStyle="Normal 9">
      <calculatedColumnFormula>FALSE()</calculatedColumnFormula>
    </tableColumn>
    <tableColumn id="2" xr3:uid="{322E8258-148E-4813-973A-4D854DA14BD9}" name="Entry No." totalsRowCellStyle="Normal 9"/>
    <tableColumn id="3" xr3:uid="{8F756E02-87E4-4F12-A4D9-8A6D16DF540D}" name="Continia User ID" totalsRowCellStyle="Normal 9"/>
    <tableColumn id="4" xr3:uid="{45BFB9A8-9933-44EA-9DE0-A398CFC5EE42}" name="Document Date" totalsRowCellStyle="Normal 9"/>
    <tableColumn id="5" xr3:uid="{906158F1-E8DE-45CC-B7E9-55FA345C4BD4}" name="Payment Type" totalsRowCellStyle="Normal 9"/>
    <tableColumn id="6" xr3:uid="{FEBD1CF3-F028-4A20-8F87-90D14E1175DA}" name="Expense Type" totalsRowCellStyle="Normal 9"/>
    <tableColumn id="7" xr3:uid="{A2A29802-4FC3-4BFD-B277-57BED0C3393A}" name="Description" totalsRowCellStyle="Normal 9"/>
    <tableColumn id="8" xr3:uid="{8A988626-387A-45FF-B699-AB7BE9BAF9CB}" name="Admin Comment" totalsRowCellStyle="Normal 9"/>
    <tableColumn id="9" xr3:uid="{50EFB38A-6087-47A7-B170-1FCDEBC14D05}" name="Approved by" totalsRowCellStyle="Normal 9"/>
    <tableColumn id="10" xr3:uid="{7331F1C9-D5EE-419B-8432-498A5822CC29}" name="Currency Code" totalsRowCellStyle="Normal 9"/>
    <tableColumn id="11" xr3:uid="{FE76B9B2-2C3E-4548-B77A-A43A5A7A623C}" name="Amount" totalsRowCellStyle="Normal 9"/>
    <tableColumn id="12" xr3:uid="{673C4BEB-D729-48B5-B815-B3192D6C273C}" name="Amount (LCY)" totalsRowLabel="Total excl. GST:" totalsRowCellStyle="Normal 9"/>
    <tableColumn id="13" xr3:uid="{BCA0C0E9-D303-4F56-8F6A-2CFED1DB4046}" name="Cost Centre" totalsRowCellStyle="Normal 9"/>
    <tableColumn id="14" xr3:uid="{C0DABC35-23BD-4470-8A0B-BEAEF424551E}" name="Country Code" totalsRowCellStyle="Normal 9"/>
    <tableColumn id="15" xr3:uid="{C3C9707C-FE10-4158-90DF-8FB46E5C30CF}" name="Cost Centre " totalsRowCellStyle="Normal 9"/>
    <tableColumn id="16" xr3:uid="{326CD201-F289-437A-96BE-48F1809D7622}" name="Project" totalsRowCellStyle="Normal 9"/>
    <tableColumn id="17" xr3:uid="{11B42592-70CC-4E69-BC29-AC5FD38E68D8}" name="Country" totalsRowCellStyle="Normal 9"/>
    <tableColumn id="18" xr3:uid="{2CDF8902-B9FC-46F4-8DA7-921899FD425E}" name="Amount Excl. GST" totalsRowFunction="sum" dataDxfId="3" totalsRowDxfId="2" totalsRowCellStyle="Comma">
      <calculatedColumnFormula>Table1[[#This Row],[Amount (LCY)]]/23*20</calculatedColumnFormula>
    </tableColumn>
    <tableColumn id="19" xr3:uid="{93EA1812-498B-4B5F-A5E0-B4EBE5395982}" name="CE's Expense Disclosure" totalsRowCellStyle="Normal 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6.xml"/><Relationship Id="rId5" Type="http://schemas.openxmlformats.org/officeDocument/2006/relationships/hyperlink" Target="http://www.ssc.govt.nz/ce-expenses-disclosure" TargetMode="External"/><Relationship Id="rId10" Type="http://schemas.openxmlformats.org/officeDocument/2006/relationships/vmlDrawing" Target="../drawings/vmlDrawing6.vml"/><Relationship Id="rId4" Type="http://schemas.openxmlformats.org/officeDocument/2006/relationships/hyperlink" Target="mailto:info@data.govt.nz"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3.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0.bin"/><Relationship Id="rId1" Type="http://schemas.openxmlformats.org/officeDocument/2006/relationships/pivotTable" Target="../pivotTables/pivotTable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37" zoomScale="85" zoomScaleNormal="85" workbookViewId="0">
      <selection activeCell="A54" sqref="A54"/>
    </sheetView>
  </sheetViews>
  <sheetFormatPr defaultColWidth="0" defaultRowHeight="14.25" zeroHeight="1" x14ac:dyDescent="0.2"/>
  <cols>
    <col min="1" max="1" width="219.28515625" style="42" customWidth="1"/>
    <col min="2" max="2" width="33.28515625" style="41" customWidth="1"/>
    <col min="3" max="16384" width="8.7109375" hidden="1"/>
  </cols>
  <sheetData>
    <row r="1" spans="1:2" ht="23.25" customHeight="1" x14ac:dyDescent="0.2">
      <c r="A1" s="40" t="s">
        <v>0</v>
      </c>
    </row>
    <row r="2" spans="1:2" ht="33" customHeight="1" x14ac:dyDescent="0.2">
      <c r="A2" s="112" t="s">
        <v>1</v>
      </c>
    </row>
    <row r="3" spans="1:2" ht="17.25" customHeight="1" x14ac:dyDescent="0.2"/>
    <row r="4" spans="1:2" ht="23.25" customHeight="1" x14ac:dyDescent="0.2">
      <c r="A4" s="78" t="s">
        <v>2</v>
      </c>
    </row>
    <row r="5" spans="1:2" ht="17.25" customHeight="1" x14ac:dyDescent="0.2"/>
    <row r="6" spans="1:2" ht="23.25" customHeight="1" x14ac:dyDescent="0.2">
      <c r="A6" s="43" t="s">
        <v>3</v>
      </c>
    </row>
    <row r="7" spans="1:2" ht="17.25" customHeight="1" x14ac:dyDescent="0.2">
      <c r="A7" s="44" t="s">
        <v>4</v>
      </c>
    </row>
    <row r="8" spans="1:2" ht="17.25" customHeight="1" x14ac:dyDescent="0.2">
      <c r="A8" s="44" t="s">
        <v>5</v>
      </c>
    </row>
    <row r="9" spans="1:2" ht="17.25" customHeight="1" x14ac:dyDescent="0.2">
      <c r="A9" s="44"/>
    </row>
    <row r="10" spans="1:2" ht="23.25" customHeight="1" x14ac:dyDescent="0.2">
      <c r="A10" s="43" t="s">
        <v>6</v>
      </c>
      <c r="B10" s="84" t="s">
        <v>7</v>
      </c>
    </row>
    <row r="11" spans="1:2" ht="17.25" customHeight="1" x14ac:dyDescent="0.2">
      <c r="A11" s="45" t="s">
        <v>8</v>
      </c>
    </row>
    <row r="12" spans="1:2" ht="17.25" customHeight="1" x14ac:dyDescent="0.2">
      <c r="A12" s="44" t="s">
        <v>9</v>
      </c>
    </row>
    <row r="13" spans="1:2" ht="17.25" customHeight="1" x14ac:dyDescent="0.2">
      <c r="A13" s="44" t="s">
        <v>10</v>
      </c>
    </row>
    <row r="14" spans="1:2" ht="17.25" customHeight="1" x14ac:dyDescent="0.2">
      <c r="A14" s="46" t="s">
        <v>11</v>
      </c>
    </row>
    <row r="15" spans="1:2" ht="17.25" customHeight="1" x14ac:dyDescent="0.2">
      <c r="A15" s="44" t="s">
        <v>12</v>
      </c>
    </row>
    <row r="16" spans="1:2" ht="17.25" customHeight="1" x14ac:dyDescent="0.2">
      <c r="A16" s="44"/>
    </row>
    <row r="17" spans="1:1" ht="23.25" customHeight="1" x14ac:dyDescent="0.2">
      <c r="A17" s="43" t="s">
        <v>13</v>
      </c>
    </row>
    <row r="18" spans="1:1" ht="17.25" customHeight="1" x14ac:dyDescent="0.2">
      <c r="A18" s="46" t="s">
        <v>14</v>
      </c>
    </row>
    <row r="19" spans="1:1" ht="17.25" customHeight="1" x14ac:dyDescent="0.2">
      <c r="A19" s="46" t="s">
        <v>15</v>
      </c>
    </row>
    <row r="20" spans="1:1" ht="17.25" customHeight="1" x14ac:dyDescent="0.2">
      <c r="A20" s="52" t="s">
        <v>16</v>
      </c>
    </row>
    <row r="21" spans="1:1" ht="17.25" customHeight="1" x14ac:dyDescent="0.2">
      <c r="A21" s="47"/>
    </row>
    <row r="22" spans="1:1" ht="23.25" customHeight="1" x14ac:dyDescent="0.2">
      <c r="A22" s="43" t="s">
        <v>17</v>
      </c>
    </row>
    <row r="23" spans="1:1" ht="17.25" customHeight="1" x14ac:dyDescent="0.2">
      <c r="A23" s="47" t="s">
        <v>18</v>
      </c>
    </row>
    <row r="24" spans="1:1" ht="17.25" customHeight="1" x14ac:dyDescent="0.2">
      <c r="A24" s="47"/>
    </row>
    <row r="25" spans="1:1" ht="23.25" customHeight="1" x14ac:dyDescent="0.2">
      <c r="A25" s="43" t="s">
        <v>19</v>
      </c>
    </row>
    <row r="26" spans="1:1" ht="17.25" customHeight="1" x14ac:dyDescent="0.2">
      <c r="A26" s="48" t="s">
        <v>20</v>
      </c>
    </row>
    <row r="27" spans="1:1" ht="32.25" customHeight="1" x14ac:dyDescent="0.2">
      <c r="A27" s="46" t="s">
        <v>21</v>
      </c>
    </row>
    <row r="28" spans="1:1" ht="17.25" customHeight="1" x14ac:dyDescent="0.2">
      <c r="A28" s="48" t="s">
        <v>22</v>
      </c>
    </row>
    <row r="29" spans="1:1" ht="32.25" customHeight="1" x14ac:dyDescent="0.2">
      <c r="A29" s="46" t="s">
        <v>23</v>
      </c>
    </row>
    <row r="30" spans="1:1" ht="17.25" customHeight="1" x14ac:dyDescent="0.2">
      <c r="A30" s="48" t="s">
        <v>24</v>
      </c>
    </row>
    <row r="31" spans="1:1" ht="17.25" customHeight="1" x14ac:dyDescent="0.2">
      <c r="A31" s="46" t="s">
        <v>25</v>
      </c>
    </row>
    <row r="32" spans="1:1" ht="17.25" customHeight="1" x14ac:dyDescent="0.2">
      <c r="A32" s="48" t="s">
        <v>26</v>
      </c>
    </row>
    <row r="33" spans="1:1" ht="32.25" customHeight="1" x14ac:dyDescent="0.2">
      <c r="A33" s="46" t="s">
        <v>27</v>
      </c>
    </row>
    <row r="34" spans="1:1" ht="32.25" customHeight="1" x14ac:dyDescent="0.2">
      <c r="A34" s="45" t="s">
        <v>28</v>
      </c>
    </row>
    <row r="35" spans="1:1" ht="17.25" customHeight="1" x14ac:dyDescent="0.2">
      <c r="A35" s="48" t="s">
        <v>29</v>
      </c>
    </row>
    <row r="36" spans="1:1" ht="32.25" customHeight="1" x14ac:dyDescent="0.2">
      <c r="A36" s="46" t="s">
        <v>30</v>
      </c>
    </row>
    <row r="37" spans="1:1" ht="32.25" customHeight="1" x14ac:dyDescent="0.2">
      <c r="A37" s="46" t="s">
        <v>31</v>
      </c>
    </row>
    <row r="38" spans="1:1" ht="32.25" customHeight="1" x14ac:dyDescent="0.2">
      <c r="A38" s="46" t="s">
        <v>32</v>
      </c>
    </row>
    <row r="39" spans="1:1" ht="17.25" customHeight="1" x14ac:dyDescent="0.2">
      <c r="A39" s="45"/>
    </row>
    <row r="40" spans="1:1" ht="22.5" customHeight="1" x14ac:dyDescent="0.2">
      <c r="A40" s="43" t="s">
        <v>33</v>
      </c>
    </row>
    <row r="41" spans="1:1" ht="17.25" customHeight="1" x14ac:dyDescent="0.2">
      <c r="A41" s="52" t="s">
        <v>34</v>
      </c>
    </row>
    <row r="42" spans="1:1" ht="17.25" customHeight="1" x14ac:dyDescent="0.2">
      <c r="A42" s="49" t="s">
        <v>35</v>
      </c>
    </row>
    <row r="43" spans="1:1" ht="17.25" customHeight="1" x14ac:dyDescent="0.2">
      <c r="A43" s="47" t="s">
        <v>36</v>
      </c>
    </row>
    <row r="44" spans="1:1" ht="32.25" customHeight="1" x14ac:dyDescent="0.2">
      <c r="A44" s="47" t="s">
        <v>37</v>
      </c>
    </row>
    <row r="45" spans="1:1" ht="32.25" customHeight="1" x14ac:dyDescent="0.2">
      <c r="A45" s="47" t="s">
        <v>38</v>
      </c>
    </row>
    <row r="46" spans="1:1" ht="17.25" customHeight="1" x14ac:dyDescent="0.2">
      <c r="A46" s="50" t="s">
        <v>39</v>
      </c>
    </row>
    <row r="47" spans="1:1" ht="32.25" customHeight="1" x14ac:dyDescent="0.2">
      <c r="A47" s="46" t="s">
        <v>40</v>
      </c>
    </row>
    <row r="48" spans="1:1" ht="32.25" customHeight="1" x14ac:dyDescent="0.2">
      <c r="A48" s="46" t="s">
        <v>41</v>
      </c>
    </row>
    <row r="49" spans="1:1" ht="32.25" customHeight="1" x14ac:dyDescent="0.2">
      <c r="A49" s="47" t="s">
        <v>42</v>
      </c>
    </row>
    <row r="50" spans="1:1" ht="17.25" customHeight="1" x14ac:dyDescent="0.2">
      <c r="A50" s="47" t="s">
        <v>43</v>
      </c>
    </row>
    <row r="51" spans="1:1" ht="17.25" customHeight="1" x14ac:dyDescent="0.2">
      <c r="A51" s="47" t="s">
        <v>44</v>
      </c>
    </row>
    <row r="52" spans="1:1" ht="17.25" customHeight="1" x14ac:dyDescent="0.2">
      <c r="A52" s="47"/>
    </row>
    <row r="53" spans="1:1" ht="22.5" customHeight="1" x14ac:dyDescent="0.2">
      <c r="A53" s="43" t="s">
        <v>45</v>
      </c>
    </row>
    <row r="54" spans="1:1" ht="32.25" customHeight="1" x14ac:dyDescent="0.2">
      <c r="A54" s="112" t="s">
        <v>46</v>
      </c>
    </row>
    <row r="55" spans="1:1" ht="17.25" customHeight="1" x14ac:dyDescent="0.2">
      <c r="A55" s="51" t="s">
        <v>47</v>
      </c>
    </row>
    <row r="56" spans="1:1" ht="17.25" customHeight="1" x14ac:dyDescent="0.2">
      <c r="A56" s="52" t="s">
        <v>48</v>
      </c>
    </row>
    <row r="57" spans="1:1" ht="17.25" customHeight="1" x14ac:dyDescent="0.2">
      <c r="A57" s="52" t="s">
        <v>49</v>
      </c>
    </row>
    <row r="58" spans="1:1" ht="17.25" customHeight="1" x14ac:dyDescent="0.2">
      <c r="A58" s="53" t="s">
        <v>50</v>
      </c>
    </row>
    <row r="59" spans="1:1" x14ac:dyDescent="0.2"/>
    <row r="61" spans="1:1" hidden="1" x14ac:dyDescent="0.2">
      <c r="A61" s="54"/>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zoomScaleNormal="100" workbookViewId="0">
      <selection activeCell="A54" sqref="A54"/>
    </sheetView>
  </sheetViews>
  <sheetFormatPr defaultColWidth="0" defaultRowHeight="12.75" zeroHeight="1" x14ac:dyDescent="0.2"/>
  <cols>
    <col min="1" max="1" width="30.5703125" customWidth="1"/>
    <col min="2" max="2" width="22.85546875" customWidth="1"/>
    <col min="3" max="3" width="26.5703125" customWidth="1"/>
    <col min="4" max="4" width="4.42578125" customWidth="1"/>
    <col min="5" max="5" width="21.42578125" customWidth="1"/>
    <col min="6" max="6" width="18.5703125" customWidth="1"/>
    <col min="7" max="7" width="42" customWidth="1"/>
    <col min="8" max="11" width="9.140625" hidden="1" customWidth="1"/>
    <col min="12" max="16384" width="9.140625" hidden="1"/>
  </cols>
  <sheetData>
    <row r="1" spans="1:11" ht="26.25" customHeight="1" x14ac:dyDescent="0.2">
      <c r="A1" s="730" t="s">
        <v>51</v>
      </c>
      <c r="B1" s="730"/>
      <c r="C1" s="730"/>
      <c r="D1" s="730"/>
      <c r="E1" s="730"/>
      <c r="F1" s="730"/>
      <c r="G1" s="18"/>
      <c r="H1" s="18"/>
      <c r="I1" s="18"/>
      <c r="J1" s="18"/>
      <c r="K1" s="18"/>
    </row>
    <row r="2" spans="1:11" ht="21" customHeight="1" x14ac:dyDescent="0.2">
      <c r="A2" s="2" t="s">
        <v>52</v>
      </c>
      <c r="B2" s="731" t="s">
        <v>53</v>
      </c>
      <c r="C2" s="731"/>
      <c r="D2" s="731"/>
      <c r="E2" s="731"/>
      <c r="F2" s="731"/>
      <c r="G2" s="18"/>
      <c r="H2" s="18"/>
      <c r="I2" s="18"/>
      <c r="J2" s="18"/>
      <c r="K2" s="18"/>
    </row>
    <row r="3" spans="1:11" ht="21" customHeight="1" x14ac:dyDescent="0.2">
      <c r="A3" s="2" t="s">
        <v>54</v>
      </c>
      <c r="B3" s="731" t="s">
        <v>55</v>
      </c>
      <c r="C3" s="731"/>
      <c r="D3" s="731"/>
      <c r="E3" s="731"/>
      <c r="F3" s="731"/>
      <c r="G3" s="18"/>
      <c r="H3" s="18"/>
      <c r="I3" s="18"/>
      <c r="J3" s="18"/>
      <c r="K3" s="18"/>
    </row>
    <row r="4" spans="1:11" ht="21" customHeight="1" x14ac:dyDescent="0.2">
      <c r="A4" s="2" t="s">
        <v>56</v>
      </c>
      <c r="B4" s="732">
        <v>43770</v>
      </c>
      <c r="C4" s="732"/>
      <c r="D4" s="732"/>
      <c r="E4" s="732"/>
      <c r="F4" s="732"/>
      <c r="G4" s="18"/>
      <c r="H4" s="18"/>
      <c r="I4" s="18"/>
      <c r="J4" s="18"/>
      <c r="K4" s="18"/>
    </row>
    <row r="5" spans="1:11" ht="21" customHeight="1" x14ac:dyDescent="0.2">
      <c r="A5" s="2" t="s">
        <v>57</v>
      </c>
      <c r="B5" s="732">
        <v>43921</v>
      </c>
      <c r="C5" s="732"/>
      <c r="D5" s="732"/>
      <c r="E5" s="732"/>
      <c r="F5" s="732"/>
      <c r="G5" s="18"/>
      <c r="H5" s="18"/>
      <c r="I5" s="18"/>
      <c r="J5" s="18"/>
      <c r="K5" s="18"/>
    </row>
    <row r="6" spans="1:11" ht="21" customHeight="1" x14ac:dyDescent="0.2">
      <c r="A6" s="2" t="s">
        <v>58</v>
      </c>
      <c r="B6" s="729" t="str">
        <f>IF(AND(Travel!B7&lt;&gt;A30,Hospitality!B7&lt;&gt;A30,'All other expenses'!B7&lt;&gt;A30,'Gifts and benefits'!B7&lt;&gt;A30),A31,IF(AND(Travel!B7=A30,Hospitality!B7=A30,'All other expenses'!B7=A30,'Gifts and benefits'!B7=A30),A33,A32))</f>
        <v>Data and totals checked on all sheets</v>
      </c>
      <c r="C6" s="729"/>
      <c r="D6" s="729"/>
      <c r="E6" s="729"/>
      <c r="F6" s="729"/>
      <c r="G6" s="24"/>
      <c r="H6" s="18"/>
      <c r="I6" s="18"/>
      <c r="J6" s="18"/>
      <c r="K6" s="18"/>
    </row>
    <row r="7" spans="1:11" ht="21" customHeight="1" x14ac:dyDescent="0.2">
      <c r="A7" s="2" t="s">
        <v>59</v>
      </c>
      <c r="B7" s="728" t="s">
        <v>60</v>
      </c>
      <c r="C7" s="728"/>
      <c r="D7" s="728"/>
      <c r="E7" s="728"/>
      <c r="F7" s="728"/>
      <c r="G7" s="24"/>
      <c r="H7" s="18"/>
      <c r="I7" s="18"/>
      <c r="J7" s="18"/>
      <c r="K7" s="18"/>
    </row>
    <row r="8" spans="1:11" ht="21" customHeight="1" x14ac:dyDescent="0.2">
      <c r="A8" s="2" t="s">
        <v>61</v>
      </c>
      <c r="B8" s="728"/>
      <c r="C8" s="728"/>
      <c r="D8" s="728"/>
      <c r="E8" s="728"/>
      <c r="F8" s="728"/>
      <c r="G8" s="24"/>
      <c r="H8" s="18"/>
      <c r="I8" s="18"/>
      <c r="J8" s="18"/>
      <c r="K8" s="18"/>
    </row>
    <row r="9" spans="1:11" ht="41.25" customHeight="1" x14ac:dyDescent="0.2">
      <c r="A9" s="727" t="s">
        <v>62</v>
      </c>
      <c r="B9" s="727"/>
      <c r="C9" s="727"/>
      <c r="D9" s="727"/>
      <c r="E9" s="727"/>
      <c r="F9" s="727"/>
      <c r="G9" s="24"/>
      <c r="H9" s="18"/>
      <c r="I9" s="18"/>
      <c r="J9" s="18"/>
      <c r="K9" s="18"/>
    </row>
    <row r="10" spans="1:11" s="111" customFormat="1" ht="36" customHeight="1" x14ac:dyDescent="0.2">
      <c r="A10" s="105" t="s">
        <v>63</v>
      </c>
      <c r="B10" s="106" t="s">
        <v>64</v>
      </c>
      <c r="C10" s="106" t="s">
        <v>65</v>
      </c>
      <c r="D10" s="107"/>
      <c r="E10" s="108" t="s">
        <v>29</v>
      </c>
      <c r="F10" s="109" t="s">
        <v>66</v>
      </c>
      <c r="G10" s="110"/>
      <c r="H10" s="110"/>
      <c r="I10" s="110"/>
      <c r="J10" s="110"/>
      <c r="K10" s="110"/>
    </row>
    <row r="11" spans="1:11" ht="27.75" customHeight="1" x14ac:dyDescent="0.2">
      <c r="A11" s="8" t="s">
        <v>67</v>
      </c>
      <c r="B11" s="64" t="e">
        <f>B15+B16+B17</f>
        <v>#REF!</v>
      </c>
      <c r="C11" s="70" t="str">
        <f>IF(Travel!B6="",A34,Travel!B6)</f>
        <v>Figures exclude GST</v>
      </c>
      <c r="D11" s="5"/>
      <c r="E11" s="8" t="s">
        <v>68</v>
      </c>
      <c r="F11" s="34">
        <f>'Gifts and benefits'!C15</f>
        <v>0</v>
      </c>
      <c r="G11" s="30"/>
      <c r="H11" s="30"/>
      <c r="I11" s="30"/>
      <c r="J11" s="30"/>
      <c r="K11" s="30"/>
    </row>
    <row r="12" spans="1:11" ht="27.75" customHeight="1" x14ac:dyDescent="0.2">
      <c r="A12" s="8" t="s">
        <v>24</v>
      </c>
      <c r="B12" s="64">
        <f>Hospitality!B14</f>
        <v>0</v>
      </c>
      <c r="C12" s="70" t="str">
        <f>IF(Hospitality!B6="",A34,Hospitality!B6)</f>
        <v>Figures exclude GST</v>
      </c>
      <c r="D12" s="5"/>
      <c r="E12" s="8" t="s">
        <v>69</v>
      </c>
      <c r="F12" s="34">
        <f>'Gifts and benefits'!C16</f>
        <v>0</v>
      </c>
      <c r="G12" s="30"/>
      <c r="H12" s="30"/>
      <c r="I12" s="30"/>
      <c r="J12" s="30"/>
      <c r="K12" s="30"/>
    </row>
    <row r="13" spans="1:11" ht="27.75" customHeight="1" x14ac:dyDescent="0.2">
      <c r="A13" s="8" t="s">
        <v>70</v>
      </c>
      <c r="B13" s="64">
        <f>'All other expenses'!B16</f>
        <v>252.51999999999998</v>
      </c>
      <c r="C13" s="70" t="str">
        <f>IF('All other expenses'!B6="",A34,'All other expenses'!B6)</f>
        <v>Figures exclude GST</v>
      </c>
      <c r="D13" s="5"/>
      <c r="E13" s="8" t="s">
        <v>71</v>
      </c>
      <c r="F13" s="34">
        <f>'Gifts and benefits'!C17</f>
        <v>0</v>
      </c>
      <c r="G13" s="18"/>
      <c r="H13" s="18"/>
      <c r="I13" s="18"/>
      <c r="J13" s="18"/>
      <c r="K13" s="18"/>
    </row>
    <row r="14" spans="1:11" ht="12.75" customHeight="1" x14ac:dyDescent="0.2">
      <c r="A14" s="7"/>
      <c r="B14" s="65"/>
      <c r="C14" s="71"/>
      <c r="D14" s="35"/>
      <c r="E14" s="5"/>
      <c r="F14" s="36"/>
      <c r="G14" s="18"/>
      <c r="H14" s="18"/>
      <c r="I14" s="18"/>
      <c r="J14" s="18"/>
      <c r="K14" s="18"/>
    </row>
    <row r="15" spans="1:11" ht="27.75" customHeight="1" x14ac:dyDescent="0.2">
      <c r="A15" s="9" t="s">
        <v>72</v>
      </c>
      <c r="B15" s="66">
        <f>Travel!B16</f>
        <v>2526.4999999999995</v>
      </c>
      <c r="C15" s="72" t="str">
        <f>C11</f>
        <v>Figures exclude GST</v>
      </c>
      <c r="D15" s="5"/>
      <c r="E15" s="5"/>
      <c r="F15" s="36"/>
      <c r="G15" s="18"/>
      <c r="H15" s="18"/>
      <c r="I15" s="18"/>
      <c r="J15" s="18"/>
      <c r="K15" s="18"/>
    </row>
    <row r="16" spans="1:11" ht="27.75" customHeight="1" x14ac:dyDescent="0.2">
      <c r="A16" s="9" t="s">
        <v>73</v>
      </c>
      <c r="B16" s="66" t="e">
        <f>Travel!B32</f>
        <v>#REF!</v>
      </c>
      <c r="C16" s="72" t="str">
        <f>C11</f>
        <v>Figures exclude GST</v>
      </c>
      <c r="D16" s="37"/>
      <c r="E16" s="5"/>
      <c r="F16" s="38"/>
      <c r="G16" s="18"/>
      <c r="H16" s="18"/>
      <c r="I16" s="18"/>
      <c r="J16" s="18"/>
      <c r="K16" s="18"/>
    </row>
    <row r="17" spans="1:11" ht="27.75" customHeight="1" x14ac:dyDescent="0.2">
      <c r="A17" s="9" t="s">
        <v>74</v>
      </c>
      <c r="B17" s="66">
        <f>Travel!B39</f>
        <v>9.57</v>
      </c>
      <c r="C17" s="72" t="str">
        <f>C11</f>
        <v>Figures exclude GST</v>
      </c>
      <c r="D17" s="5"/>
      <c r="E17" s="5"/>
      <c r="F17" s="38"/>
      <c r="G17" s="18"/>
      <c r="H17" s="18"/>
      <c r="I17" s="18"/>
      <c r="J17" s="18"/>
      <c r="K17" s="18"/>
    </row>
    <row r="18" spans="1:11" ht="27.75" customHeight="1" x14ac:dyDescent="0.2">
      <c r="A18" s="18"/>
      <c r="B18" s="20"/>
      <c r="C18" s="18"/>
      <c r="D18" s="4"/>
      <c r="E18" s="4"/>
      <c r="F18" s="29"/>
      <c r="G18" s="18"/>
      <c r="H18" s="18"/>
      <c r="I18" s="18"/>
      <c r="J18" s="18"/>
      <c r="K18" s="18"/>
    </row>
    <row r="19" spans="1:11" x14ac:dyDescent="0.2">
      <c r="A19" s="19" t="s">
        <v>75</v>
      </c>
      <c r="B19" s="20"/>
      <c r="C19" s="18"/>
      <c r="D19" s="18"/>
      <c r="E19" s="18"/>
      <c r="F19" s="18"/>
      <c r="G19" s="18"/>
      <c r="H19" s="18"/>
      <c r="I19" s="18"/>
      <c r="J19" s="18"/>
      <c r="K19" s="18"/>
    </row>
    <row r="20" spans="1:11" x14ac:dyDescent="0.2">
      <c r="A20" s="21" t="s">
        <v>76</v>
      </c>
      <c r="D20" s="18"/>
      <c r="E20" s="18"/>
      <c r="F20" s="18"/>
      <c r="G20" s="18"/>
      <c r="H20" s="18"/>
      <c r="I20" s="18"/>
      <c r="J20" s="18"/>
      <c r="K20" s="18"/>
    </row>
    <row r="21" spans="1:11" ht="12.6" customHeight="1" x14ac:dyDescent="0.2">
      <c r="A21" s="21" t="s">
        <v>77</v>
      </c>
      <c r="D21" s="18"/>
      <c r="E21" s="18"/>
      <c r="F21" s="18"/>
      <c r="G21" s="18"/>
      <c r="H21" s="18"/>
      <c r="I21" s="18"/>
      <c r="J21" s="18"/>
      <c r="K21" s="18"/>
    </row>
    <row r="22" spans="1:11" ht="12.6" customHeight="1" x14ac:dyDescent="0.2">
      <c r="A22" s="21" t="s">
        <v>78</v>
      </c>
      <c r="D22" s="18"/>
      <c r="E22" s="18"/>
      <c r="F22" s="18"/>
      <c r="G22" s="18"/>
      <c r="H22" s="18"/>
      <c r="I22" s="18"/>
      <c r="J22" s="18"/>
      <c r="K22" s="18"/>
    </row>
    <row r="23" spans="1:11" ht="12.6" customHeight="1" x14ac:dyDescent="0.2">
      <c r="A23" s="21" t="s">
        <v>79</v>
      </c>
      <c r="D23" s="18"/>
      <c r="E23" s="18"/>
      <c r="F23" s="18"/>
      <c r="G23" s="18"/>
      <c r="H23" s="18"/>
      <c r="I23" s="18"/>
      <c r="J23" s="18"/>
      <c r="K23" s="18"/>
    </row>
    <row r="24" spans="1:11" x14ac:dyDescent="0.2">
      <c r="A24" s="27"/>
      <c r="B24" s="18"/>
      <c r="C24" s="18"/>
      <c r="D24" s="18"/>
      <c r="E24" s="18"/>
      <c r="F24" s="18"/>
      <c r="G24" s="18"/>
      <c r="H24" s="18"/>
      <c r="I24" s="18"/>
      <c r="J24" s="18"/>
      <c r="K24" s="18"/>
    </row>
    <row r="25" spans="1:11" hidden="1" x14ac:dyDescent="0.2">
      <c r="A25" s="12" t="s">
        <v>80</v>
      </c>
      <c r="B25" s="13"/>
      <c r="C25" s="13"/>
      <c r="D25" s="13"/>
      <c r="E25" s="13"/>
      <c r="F25" s="13"/>
      <c r="G25" s="18"/>
      <c r="H25" s="18"/>
      <c r="I25" s="18"/>
      <c r="J25" s="18"/>
      <c r="K25" s="18"/>
    </row>
    <row r="26" spans="1:11" ht="12.75" hidden="1" customHeight="1" x14ac:dyDescent="0.2">
      <c r="A26" s="11" t="s">
        <v>81</v>
      </c>
      <c r="B26" s="3"/>
      <c r="C26" s="3"/>
      <c r="D26" s="11"/>
      <c r="E26" s="11"/>
      <c r="F26" s="11"/>
      <c r="G26" s="18"/>
      <c r="H26" s="18"/>
      <c r="I26" s="18"/>
      <c r="J26" s="18"/>
      <c r="K26" s="18"/>
    </row>
    <row r="27" spans="1:11" hidden="1" x14ac:dyDescent="0.2">
      <c r="A27" s="10" t="s">
        <v>82</v>
      </c>
      <c r="B27" s="10"/>
      <c r="C27" s="10"/>
      <c r="D27" s="10"/>
      <c r="E27" s="10"/>
      <c r="F27" s="10"/>
      <c r="G27" s="18"/>
      <c r="H27" s="18"/>
      <c r="I27" s="18"/>
      <c r="J27" s="18"/>
      <c r="K27" s="18"/>
    </row>
    <row r="28" spans="1:11" hidden="1" x14ac:dyDescent="0.2">
      <c r="A28" s="10" t="s">
        <v>83</v>
      </c>
      <c r="B28" s="10"/>
      <c r="C28" s="10"/>
      <c r="D28" s="10"/>
      <c r="E28" s="10"/>
      <c r="F28" s="10"/>
      <c r="G28" s="18"/>
      <c r="H28" s="18"/>
      <c r="I28" s="18"/>
      <c r="J28" s="18"/>
      <c r="K28" s="18"/>
    </row>
    <row r="29" spans="1:11" hidden="1" x14ac:dyDescent="0.2">
      <c r="A29" s="11" t="s">
        <v>84</v>
      </c>
      <c r="B29" s="11"/>
      <c r="C29" s="11"/>
      <c r="D29" s="11"/>
      <c r="E29" s="11"/>
      <c r="F29" s="11"/>
      <c r="G29" s="18"/>
      <c r="H29" s="18"/>
      <c r="I29" s="18"/>
      <c r="J29" s="18"/>
      <c r="K29" s="18"/>
    </row>
    <row r="30" spans="1:11" hidden="1" x14ac:dyDescent="0.2">
      <c r="A30" s="11" t="s">
        <v>85</v>
      </c>
      <c r="B30" s="11"/>
      <c r="C30" s="11"/>
      <c r="D30" s="11"/>
      <c r="E30" s="11"/>
      <c r="F30" s="11"/>
      <c r="G30" s="18"/>
      <c r="H30" s="18"/>
      <c r="I30" s="18"/>
      <c r="J30" s="18"/>
      <c r="K30" s="18"/>
    </row>
    <row r="31" spans="1:11" hidden="1" x14ac:dyDescent="0.2">
      <c r="A31" s="10" t="s">
        <v>86</v>
      </c>
      <c r="B31" s="10"/>
      <c r="C31" s="10"/>
      <c r="D31" s="10"/>
      <c r="E31" s="10"/>
      <c r="F31" s="10"/>
      <c r="G31" s="18"/>
      <c r="H31" s="18"/>
      <c r="I31" s="18"/>
      <c r="J31" s="18"/>
      <c r="K31" s="18"/>
    </row>
    <row r="32" spans="1:11" hidden="1" x14ac:dyDescent="0.2">
      <c r="A32" s="10" t="s">
        <v>87</v>
      </c>
      <c r="B32" s="10"/>
      <c r="C32" s="10"/>
      <c r="D32" s="10"/>
      <c r="E32" s="10"/>
      <c r="F32" s="10"/>
      <c r="G32" s="18"/>
      <c r="H32" s="18"/>
      <c r="I32" s="18"/>
      <c r="J32" s="18"/>
      <c r="K32" s="18"/>
    </row>
    <row r="33" spans="1:11" hidden="1" x14ac:dyDescent="0.2">
      <c r="A33" s="10" t="s">
        <v>88</v>
      </c>
      <c r="B33" s="10"/>
      <c r="C33" s="10"/>
      <c r="D33" s="10"/>
      <c r="E33" s="10"/>
      <c r="F33" s="10"/>
      <c r="G33" s="18"/>
      <c r="H33" s="18"/>
      <c r="I33" s="18"/>
      <c r="J33" s="18"/>
      <c r="K33" s="18"/>
    </row>
    <row r="34" spans="1:11" hidden="1" x14ac:dyDescent="0.2">
      <c r="A34" s="11" t="s">
        <v>89</v>
      </c>
      <c r="B34" s="11"/>
      <c r="C34" s="11"/>
      <c r="D34" s="11"/>
      <c r="E34" s="11"/>
      <c r="F34" s="11"/>
      <c r="G34" s="18"/>
      <c r="H34" s="18"/>
      <c r="I34" s="18"/>
      <c r="J34" s="18"/>
      <c r="K34" s="18"/>
    </row>
    <row r="35" spans="1:11" hidden="1" x14ac:dyDescent="0.2">
      <c r="A35" s="11" t="s">
        <v>90</v>
      </c>
      <c r="B35" s="11"/>
      <c r="C35" s="11"/>
      <c r="D35" s="11"/>
      <c r="E35" s="11"/>
      <c r="F35" s="11"/>
      <c r="G35" s="18"/>
      <c r="H35" s="18"/>
      <c r="I35" s="18"/>
      <c r="J35" s="18"/>
      <c r="K35" s="18"/>
    </row>
    <row r="36" spans="1:11" hidden="1" x14ac:dyDescent="0.2">
      <c r="A36" s="10" t="s">
        <v>91</v>
      </c>
      <c r="B36" s="68"/>
      <c r="C36" s="68"/>
      <c r="D36" s="68"/>
      <c r="E36" s="68"/>
      <c r="F36" s="68"/>
      <c r="G36" s="18"/>
      <c r="H36" s="18"/>
      <c r="I36" s="18"/>
      <c r="J36" s="18"/>
      <c r="K36" s="18"/>
    </row>
    <row r="37" spans="1:11" hidden="1" x14ac:dyDescent="0.2">
      <c r="A37" s="10" t="s">
        <v>60</v>
      </c>
      <c r="B37" s="68"/>
      <c r="C37" s="68"/>
      <c r="D37" s="68"/>
      <c r="E37" s="68"/>
      <c r="F37" s="68"/>
      <c r="G37" s="18"/>
      <c r="H37" s="18"/>
      <c r="I37" s="18"/>
      <c r="J37" s="18"/>
      <c r="K37" s="18"/>
    </row>
    <row r="38" spans="1:11" hidden="1" x14ac:dyDescent="0.2">
      <c r="A38" s="11" t="s">
        <v>92</v>
      </c>
      <c r="B38" s="3"/>
      <c r="C38" s="3"/>
      <c r="D38" s="3"/>
      <c r="E38" s="3"/>
      <c r="F38" s="3"/>
      <c r="G38" s="18"/>
      <c r="H38" s="18"/>
      <c r="I38" s="18"/>
      <c r="J38" s="18"/>
      <c r="K38" s="18"/>
    </row>
    <row r="39" spans="1:11" hidden="1" x14ac:dyDescent="0.2">
      <c r="A39" s="3" t="s">
        <v>93</v>
      </c>
      <c r="B39" s="3"/>
      <c r="C39" s="3"/>
      <c r="D39" s="3"/>
      <c r="E39" s="3"/>
      <c r="F39" s="3"/>
      <c r="G39" s="18"/>
      <c r="H39" s="18"/>
      <c r="I39" s="18"/>
      <c r="J39" s="18"/>
      <c r="K39" s="18"/>
    </row>
    <row r="40" spans="1:11" hidden="1" x14ac:dyDescent="0.2">
      <c r="A40" s="3" t="s">
        <v>94</v>
      </c>
      <c r="B40" s="3"/>
      <c r="C40" s="3"/>
      <c r="D40" s="3"/>
      <c r="E40" s="3"/>
      <c r="F40" s="3"/>
      <c r="G40" s="18"/>
      <c r="H40" s="18"/>
      <c r="I40" s="18"/>
      <c r="J40" s="18"/>
      <c r="K40" s="18"/>
    </row>
    <row r="41" spans="1:11" hidden="1" x14ac:dyDescent="0.2">
      <c r="A41" s="3" t="s">
        <v>95</v>
      </c>
      <c r="B41" s="3"/>
      <c r="C41" s="3"/>
      <c r="D41" s="3"/>
      <c r="E41" s="3"/>
      <c r="F41" s="3"/>
      <c r="G41" s="18"/>
      <c r="H41" s="18"/>
      <c r="I41" s="18"/>
      <c r="J41" s="18"/>
      <c r="K41" s="18"/>
    </row>
    <row r="42" spans="1:11" hidden="1" x14ac:dyDescent="0.2">
      <c r="A42" s="3" t="s">
        <v>96</v>
      </c>
      <c r="B42" s="3"/>
      <c r="C42" s="3"/>
      <c r="D42" s="3"/>
      <c r="E42" s="3"/>
      <c r="F42" s="3"/>
      <c r="G42" s="18"/>
      <c r="H42" s="18"/>
      <c r="I42" s="18"/>
      <c r="J42" s="18"/>
      <c r="K42" s="18"/>
    </row>
    <row r="43" spans="1:11" hidden="1" x14ac:dyDescent="0.2">
      <c r="A43" s="3" t="s">
        <v>97</v>
      </c>
      <c r="B43" s="3"/>
      <c r="C43" s="3"/>
      <c r="D43" s="3"/>
      <c r="E43" s="3"/>
      <c r="F43" s="3"/>
      <c r="G43" s="18"/>
      <c r="H43" s="18"/>
      <c r="I43" s="18"/>
      <c r="J43" s="18"/>
      <c r="K43" s="18"/>
    </row>
    <row r="44" spans="1:11" hidden="1" x14ac:dyDescent="0.2">
      <c r="A44" s="69" t="s">
        <v>98</v>
      </c>
      <c r="B44" s="68"/>
      <c r="C44" s="68"/>
      <c r="D44" s="68"/>
      <c r="E44" s="68"/>
      <c r="F44" s="68"/>
      <c r="G44" s="18"/>
      <c r="H44" s="18"/>
      <c r="I44" s="18"/>
      <c r="J44" s="18"/>
      <c r="K44" s="18"/>
    </row>
    <row r="45" spans="1:11" hidden="1" x14ac:dyDescent="0.2">
      <c r="A45" s="68" t="s">
        <v>99</v>
      </c>
      <c r="B45" s="68"/>
      <c r="C45" s="68"/>
      <c r="D45" s="68"/>
      <c r="E45" s="68"/>
      <c r="F45" s="68"/>
      <c r="G45" s="18"/>
      <c r="H45" s="18"/>
      <c r="I45" s="18"/>
      <c r="J45" s="18"/>
      <c r="K45" s="18"/>
    </row>
    <row r="46" spans="1:11" hidden="1" x14ac:dyDescent="0.2">
      <c r="A46" s="39">
        <v>-20000</v>
      </c>
      <c r="B46" s="3"/>
      <c r="C46" s="3"/>
      <c r="D46" s="3"/>
      <c r="E46" s="3"/>
      <c r="F46" s="3"/>
      <c r="G46" s="18"/>
      <c r="H46" s="18"/>
      <c r="I46" s="18"/>
      <c r="J46" s="18"/>
      <c r="K46" s="18"/>
    </row>
    <row r="47" spans="1:11" ht="25.5" hidden="1" x14ac:dyDescent="0.2">
      <c r="A47" s="99" t="s">
        <v>100</v>
      </c>
      <c r="B47" s="68"/>
      <c r="C47" s="68"/>
      <c r="D47" s="68"/>
      <c r="E47" s="68"/>
      <c r="F47" s="68"/>
      <c r="G47" s="18"/>
      <c r="H47" s="18"/>
      <c r="I47" s="18"/>
      <c r="J47" s="18"/>
      <c r="K47" s="18"/>
    </row>
    <row r="48" spans="1:11" ht="25.5" hidden="1" x14ac:dyDescent="0.2">
      <c r="A48" s="99" t="s">
        <v>101</v>
      </c>
      <c r="B48" s="68"/>
      <c r="C48" s="68"/>
      <c r="D48" s="68"/>
      <c r="E48" s="68"/>
      <c r="F48" s="68"/>
      <c r="G48" s="18"/>
      <c r="H48" s="18"/>
      <c r="I48" s="18"/>
      <c r="J48" s="18"/>
      <c r="K48" s="18"/>
    </row>
    <row r="49" spans="1:11" ht="25.5" hidden="1" x14ac:dyDescent="0.2">
      <c r="A49" s="100" t="s">
        <v>102</v>
      </c>
      <c r="B49" s="3"/>
      <c r="C49" s="3"/>
      <c r="D49" s="3"/>
      <c r="E49" s="3"/>
      <c r="F49" s="3"/>
      <c r="G49" s="18"/>
      <c r="H49" s="18"/>
      <c r="I49" s="18"/>
      <c r="J49" s="18"/>
      <c r="K49" s="18"/>
    </row>
    <row r="50" spans="1:11" ht="38.25" hidden="1" x14ac:dyDescent="0.2">
      <c r="A50" s="100" t="s">
        <v>103</v>
      </c>
      <c r="B50" s="3"/>
      <c r="C50" s="3"/>
      <c r="D50" s="3"/>
      <c r="E50" s="3"/>
      <c r="F50" s="3"/>
      <c r="G50" s="18"/>
      <c r="H50" s="18"/>
      <c r="I50" s="18"/>
      <c r="J50" s="18"/>
      <c r="K50" s="18"/>
    </row>
    <row r="51" spans="1:11" ht="51" hidden="1" x14ac:dyDescent="0.2">
      <c r="A51" s="100" t="s">
        <v>104</v>
      </c>
      <c r="B51" s="92"/>
      <c r="C51" s="92"/>
      <c r="D51" s="92"/>
      <c r="E51" s="11"/>
      <c r="F51" s="11"/>
      <c r="G51" s="18"/>
      <c r="H51" s="18"/>
      <c r="I51" s="18"/>
      <c r="J51" s="18"/>
      <c r="K51" s="18"/>
    </row>
    <row r="52" spans="1:11" hidden="1" x14ac:dyDescent="0.2">
      <c r="A52" s="97" t="s">
        <v>105</v>
      </c>
      <c r="B52" s="91"/>
      <c r="C52" s="91"/>
      <c r="D52" s="91"/>
      <c r="E52" s="10"/>
      <c r="F52" s="10" t="b">
        <v>1</v>
      </c>
      <c r="G52" s="18"/>
      <c r="H52" s="18"/>
      <c r="I52" s="18"/>
      <c r="J52" s="18"/>
      <c r="K52" s="18"/>
    </row>
    <row r="53" spans="1:11" hidden="1" x14ac:dyDescent="0.2">
      <c r="A53" s="98" t="s">
        <v>106</v>
      </c>
      <c r="B53" s="97"/>
      <c r="C53" s="97"/>
      <c r="D53" s="97"/>
      <c r="E53" s="10"/>
      <c r="F53" s="10" t="b">
        <v>0</v>
      </c>
      <c r="G53" s="18"/>
      <c r="H53" s="18"/>
      <c r="I53" s="18"/>
      <c r="J53" s="18"/>
      <c r="K53" s="18"/>
    </row>
    <row r="54" spans="1:11" hidden="1" x14ac:dyDescent="0.2">
      <c r="A54" s="101"/>
      <c r="B54" s="93">
        <f>COUNT(Travel!B12:B15)</f>
        <v>4</v>
      </c>
      <c r="C54" s="93"/>
      <c r="D54" s="93">
        <f>COUNTIF(Travel!D12:D15,"*")</f>
        <v>4</v>
      </c>
      <c r="E54" s="94"/>
      <c r="F54" s="94" t="b">
        <f>MIN(B54,D54)=MAX(B54,D54)</f>
        <v>1</v>
      </c>
      <c r="G54" s="18"/>
      <c r="H54" s="18"/>
      <c r="I54" s="18"/>
      <c r="J54" s="18"/>
      <c r="K54" s="18"/>
    </row>
    <row r="55" spans="1:11" hidden="1" x14ac:dyDescent="0.2">
      <c r="A55" s="101" t="s">
        <v>107</v>
      </c>
      <c r="B55" s="93">
        <f>COUNT(Travel!#REF!)</f>
        <v>0</v>
      </c>
      <c r="C55" s="93"/>
      <c r="D55" s="93" t="e">
        <f>COUNTIF(Travel!#REF!,"*")</f>
        <v>#REF!</v>
      </c>
      <c r="E55" s="94"/>
      <c r="F55" s="94" t="e">
        <f>MIN(B55,D55)=MAX(B55,D55)</f>
        <v>#REF!</v>
      </c>
    </row>
    <row r="56" spans="1:11" hidden="1" x14ac:dyDescent="0.2">
      <c r="A56" s="102"/>
      <c r="B56" s="93">
        <f>COUNT(Travel!B36:B36)</f>
        <v>1</v>
      </c>
      <c r="C56" s="93"/>
      <c r="D56" s="93">
        <f>COUNTIF(Travel!D36:D36,"*")</f>
        <v>1</v>
      </c>
      <c r="E56" s="94"/>
      <c r="F56" s="94" t="b">
        <f>MIN(B56,D56)=MAX(B56,D56)</f>
        <v>1</v>
      </c>
    </row>
    <row r="57" spans="1:11" hidden="1" x14ac:dyDescent="0.2">
      <c r="A57" s="103" t="s">
        <v>108</v>
      </c>
      <c r="B57" s="95">
        <f>COUNT(Hospitality!B11:B13)</f>
        <v>0</v>
      </c>
      <c r="C57" s="95"/>
      <c r="D57" s="95">
        <f>COUNTIF(Hospitality!D11:D13,"*")</f>
        <v>0</v>
      </c>
      <c r="E57" s="96"/>
      <c r="F57" s="96" t="b">
        <f>MIN(B57,D57)=MAX(B57,D57)</f>
        <v>1</v>
      </c>
    </row>
    <row r="58" spans="1:11" hidden="1" x14ac:dyDescent="0.2">
      <c r="A58" s="104" t="s">
        <v>109</v>
      </c>
      <c r="B58" s="94">
        <f>COUNT('All other expenses'!B11:B15)</f>
        <v>5</v>
      </c>
      <c r="C58" s="94"/>
      <c r="D58" s="94">
        <f>COUNTIF('All other expenses'!D11:D15,"*")</f>
        <v>5</v>
      </c>
      <c r="E58" s="94"/>
      <c r="F58" s="94" t="b">
        <f>MIN(B58,D58)=MAX(B58,D58)</f>
        <v>1</v>
      </c>
    </row>
    <row r="59" spans="1:11" hidden="1" x14ac:dyDescent="0.2">
      <c r="A59" s="103" t="s">
        <v>110</v>
      </c>
      <c r="B59" s="95">
        <f>COUNTIF('Gifts and benefits'!B11:B14,"*")</f>
        <v>0</v>
      </c>
      <c r="C59" s="95">
        <f>COUNTIF('Gifts and benefits'!C11:C14,"*")</f>
        <v>0</v>
      </c>
      <c r="D59" s="95"/>
      <c r="E59" s="95">
        <f>COUNTA('Gifts and benefits'!E11:E14)</f>
        <v>0</v>
      </c>
      <c r="F59" s="96" t="b">
        <f>MIN(B59,C59,E59)=MAX(B59,C59,E59)</f>
        <v>1</v>
      </c>
    </row>
    <row r="60"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ageMargins left="0.28000000000000003" right="0.18" top="0.74803149606299213" bottom="0.74803149606299213" header="0.31496062992125984" footer="0.31496062992125984"/>
  <pageSetup paperSize="9" scale="96"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7"/>
  <sheetViews>
    <sheetView topLeftCell="A28" zoomScaleNormal="100" workbookViewId="0">
      <selection activeCell="A54" sqref="A54"/>
    </sheetView>
  </sheetViews>
  <sheetFormatPr defaultColWidth="0" defaultRowHeight="12.75" zeroHeight="1" x14ac:dyDescent="0.2"/>
  <cols>
    <col min="1" max="1" width="26.28515625" customWidth="1"/>
    <col min="2" max="2" width="13" customWidth="1"/>
    <col min="3" max="3" width="55.5703125" customWidth="1"/>
    <col min="4" max="4" width="17" customWidth="1"/>
    <col min="5" max="5" width="19" customWidth="1"/>
    <col min="6" max="6" width="21.85546875" bestFit="1" customWidth="1"/>
    <col min="7" max="9" width="9.140625" hidden="1" customWidth="1"/>
    <col min="10" max="13" width="0" hidden="1" customWidth="1"/>
    <col min="14" max="16384" width="9.140625" hidden="1"/>
  </cols>
  <sheetData>
    <row r="1" spans="1:6" ht="26.25" customHeight="1" x14ac:dyDescent="0.2">
      <c r="A1" s="730" t="s">
        <v>111</v>
      </c>
      <c r="B1" s="730"/>
      <c r="C1" s="730"/>
      <c r="D1" s="730"/>
      <c r="E1" s="730"/>
      <c r="F1" s="18"/>
    </row>
    <row r="2" spans="1:6" ht="21" customHeight="1" x14ac:dyDescent="0.2">
      <c r="A2" s="2" t="s">
        <v>52</v>
      </c>
      <c r="B2" s="733" t="str">
        <f>'Summary and sign-off'!B2:F2</f>
        <v>Education New Zealand</v>
      </c>
      <c r="C2" s="733"/>
      <c r="D2" s="733"/>
      <c r="E2" s="733"/>
      <c r="F2" s="18"/>
    </row>
    <row r="3" spans="1:6" ht="21" customHeight="1" x14ac:dyDescent="0.2">
      <c r="A3" s="2" t="s">
        <v>54</v>
      </c>
      <c r="B3" s="733" t="str">
        <f>'Summary and sign-off'!B3:F3</f>
        <v>Grant McPherson</v>
      </c>
      <c r="C3" s="733"/>
      <c r="D3" s="733"/>
      <c r="E3" s="733"/>
      <c r="F3" s="18"/>
    </row>
    <row r="4" spans="1:6" ht="21" customHeight="1" x14ac:dyDescent="0.2">
      <c r="A4" s="2" t="s">
        <v>56</v>
      </c>
      <c r="B4" s="733">
        <f>'Summary and sign-off'!B4:F4</f>
        <v>43770</v>
      </c>
      <c r="C4" s="733"/>
      <c r="D4" s="733"/>
      <c r="E4" s="733"/>
      <c r="F4" s="18"/>
    </row>
    <row r="5" spans="1:6" ht="21" customHeight="1" x14ac:dyDescent="0.2">
      <c r="A5" s="2" t="s">
        <v>57</v>
      </c>
      <c r="B5" s="733">
        <f>'Summary and sign-off'!B5:F5</f>
        <v>43921</v>
      </c>
      <c r="C5" s="733"/>
      <c r="D5" s="733"/>
      <c r="E5" s="733"/>
      <c r="F5" s="18"/>
    </row>
    <row r="6" spans="1:6" ht="21" customHeight="1" x14ac:dyDescent="0.2">
      <c r="A6" s="2" t="s">
        <v>112</v>
      </c>
      <c r="B6" s="728" t="s">
        <v>83</v>
      </c>
      <c r="C6" s="728"/>
      <c r="D6" s="728"/>
      <c r="E6" s="728"/>
      <c r="F6" s="18"/>
    </row>
    <row r="7" spans="1:6" ht="21" customHeight="1" x14ac:dyDescent="0.2">
      <c r="A7" s="2" t="s">
        <v>58</v>
      </c>
      <c r="B7" s="728" t="s">
        <v>85</v>
      </c>
      <c r="C7" s="728"/>
      <c r="D7" s="728"/>
      <c r="E7" s="728"/>
      <c r="F7" s="18"/>
    </row>
    <row r="8" spans="1:6" ht="36" customHeight="1" x14ac:dyDescent="0.2">
      <c r="A8" s="736" t="s">
        <v>113</v>
      </c>
      <c r="B8" s="737"/>
      <c r="C8" s="737"/>
      <c r="D8" s="737"/>
      <c r="E8" s="737"/>
      <c r="F8" s="20"/>
    </row>
    <row r="9" spans="1:6" ht="36" customHeight="1" x14ac:dyDescent="0.2">
      <c r="A9" s="738" t="s">
        <v>114</v>
      </c>
      <c r="B9" s="739"/>
      <c r="C9" s="739"/>
      <c r="D9" s="739"/>
      <c r="E9" s="739"/>
      <c r="F9" s="20"/>
    </row>
    <row r="10" spans="1:6" ht="24.75" customHeight="1" x14ac:dyDescent="0.2">
      <c r="A10" s="735" t="s">
        <v>115</v>
      </c>
      <c r="B10" s="740"/>
      <c r="C10" s="735"/>
      <c r="D10" s="735"/>
      <c r="E10" s="735"/>
      <c r="F10" s="30"/>
    </row>
    <row r="11" spans="1:6" ht="22.5" customHeight="1" x14ac:dyDescent="0.2">
      <c r="A11" s="25" t="s">
        <v>116</v>
      </c>
      <c r="B11" s="25" t="s">
        <v>64</v>
      </c>
      <c r="C11" s="25" t="s">
        <v>117</v>
      </c>
      <c r="D11" s="25" t="s">
        <v>118</v>
      </c>
      <c r="E11" s="25" t="s">
        <v>119</v>
      </c>
      <c r="F11" s="31" t="s">
        <v>120</v>
      </c>
    </row>
    <row r="12" spans="1:6" s="1" customFormat="1" x14ac:dyDescent="0.2">
      <c r="A12" s="295" t="s">
        <v>121</v>
      </c>
      <c r="B12" s="74">
        <f>'Trip to CGN 10 Jan'!D28</f>
        <v>154</v>
      </c>
      <c r="C12" s="75" t="s">
        <v>122</v>
      </c>
      <c r="D12" s="75" t="s">
        <v>123</v>
      </c>
      <c r="E12" s="76" t="s">
        <v>124</v>
      </c>
      <c r="F12" s="285"/>
    </row>
    <row r="13" spans="1:6" s="1" customFormat="1" ht="25.5" x14ac:dyDescent="0.2">
      <c r="A13" s="77">
        <v>43797</v>
      </c>
      <c r="B13" s="74">
        <f>'Trip to VAN 20 Mar'!D34</f>
        <v>254.44</v>
      </c>
      <c r="C13" s="75" t="s">
        <v>125</v>
      </c>
      <c r="D13" s="75" t="s">
        <v>126</v>
      </c>
      <c r="E13" s="76" t="s">
        <v>127</v>
      </c>
      <c r="F13" s="285"/>
    </row>
    <row r="14" spans="1:6" s="1" customFormat="1" ht="38.25" x14ac:dyDescent="0.2">
      <c r="A14" s="77">
        <v>43880</v>
      </c>
      <c r="B14" s="74">
        <f>'Trip to VAN 20 Mar'!D37</f>
        <v>1897.49</v>
      </c>
      <c r="C14" s="75" t="s">
        <v>125</v>
      </c>
      <c r="D14" s="75" t="s">
        <v>128</v>
      </c>
      <c r="E14" s="76" t="s">
        <v>127</v>
      </c>
      <c r="F14" s="285"/>
    </row>
    <row r="15" spans="1:6" s="1" customFormat="1" ht="25.5" x14ac:dyDescent="0.2">
      <c r="A15" s="77">
        <v>43910</v>
      </c>
      <c r="B15" s="74">
        <f>'Trip to VAN 20 Mar'!D27</f>
        <v>220.56999999999971</v>
      </c>
      <c r="C15" s="75" t="s">
        <v>125</v>
      </c>
      <c r="D15" s="75" t="s">
        <v>129</v>
      </c>
      <c r="E15" s="76" t="s">
        <v>127</v>
      </c>
      <c r="F15" s="285">
        <f>SUM(B13:B15)</f>
        <v>2372.4999999999995</v>
      </c>
    </row>
    <row r="16" spans="1:6" ht="28.5" customHeight="1" x14ac:dyDescent="0.2">
      <c r="A16" s="87" t="s">
        <v>130</v>
      </c>
      <c r="B16" s="88">
        <f>SUM(B12:B15)</f>
        <v>2526.4999999999995</v>
      </c>
      <c r="C16" s="89" t="str">
        <f>IF(SUBTOTAL(3,B12:B15)=SUBTOTAL(103,B12:B15),'Summary and sign-off'!$A$47,'Summary and sign-off'!$A$48)</f>
        <v>Check - there are no hidden rows with data</v>
      </c>
      <c r="D16" s="734" t="str">
        <f>IF('Summary and sign-off'!F54='Summary and sign-off'!F53,'Summary and sign-off'!A50,'Summary and sign-off'!A49)</f>
        <v>Check - each entry provides sufficient information</v>
      </c>
      <c r="E16" s="734"/>
      <c r="F16" s="18"/>
    </row>
    <row r="17" spans="1:6" ht="10.5" customHeight="1" x14ac:dyDescent="0.2">
      <c r="A17" s="18"/>
      <c r="B17" s="20"/>
      <c r="C17" s="18"/>
      <c r="D17" s="18"/>
      <c r="E17" s="18"/>
      <c r="F17" s="18"/>
    </row>
    <row r="18" spans="1:6" ht="24.75" customHeight="1" x14ac:dyDescent="0.2">
      <c r="A18" s="735" t="s">
        <v>131</v>
      </c>
      <c r="B18" s="735"/>
      <c r="C18" s="735"/>
      <c r="D18" s="735"/>
      <c r="E18" s="735"/>
      <c r="F18" s="30"/>
    </row>
    <row r="19" spans="1:6" ht="19.5" customHeight="1" x14ac:dyDescent="0.2">
      <c r="A19" s="25" t="s">
        <v>116</v>
      </c>
      <c r="B19" s="25" t="s">
        <v>64</v>
      </c>
      <c r="C19" s="25" t="s">
        <v>117</v>
      </c>
      <c r="D19" s="25" t="s">
        <v>118</v>
      </c>
      <c r="E19" s="25" t="s">
        <v>119</v>
      </c>
      <c r="F19" s="31" t="s">
        <v>120</v>
      </c>
    </row>
    <row r="20" spans="1:6" s="1" customFormat="1" ht="25.5" x14ac:dyDescent="0.2">
      <c r="A20" s="113">
        <v>43756</v>
      </c>
      <c r="B20" s="114">
        <f>'Trip to AKL 18 Oct'!D30</f>
        <v>14.09</v>
      </c>
      <c r="C20" s="115" t="s">
        <v>132</v>
      </c>
      <c r="D20" s="115" t="s">
        <v>133</v>
      </c>
      <c r="E20" s="116" t="s">
        <v>134</v>
      </c>
      <c r="F20" s="286"/>
    </row>
    <row r="21" spans="1:6" s="1" customFormat="1" ht="25.5" x14ac:dyDescent="0.2">
      <c r="A21" s="77">
        <v>43756</v>
      </c>
      <c r="B21" s="74">
        <f>'Trip to AKL 18 Oct'!D35</f>
        <v>44</v>
      </c>
      <c r="C21" s="75" t="s">
        <v>132</v>
      </c>
      <c r="D21" s="75" t="s">
        <v>135</v>
      </c>
      <c r="E21" s="76" t="s">
        <v>134</v>
      </c>
      <c r="F21" s="286"/>
    </row>
    <row r="22" spans="1:6" s="1" customFormat="1" ht="38.25" x14ac:dyDescent="0.2">
      <c r="A22" s="389">
        <v>43756</v>
      </c>
      <c r="B22" s="386">
        <f>'Trip to AKL 18 Oct'!D34</f>
        <v>39.130000000000003</v>
      </c>
      <c r="C22" s="387" t="s">
        <v>132</v>
      </c>
      <c r="D22" s="387" t="s">
        <v>136</v>
      </c>
      <c r="E22" s="388" t="s">
        <v>137</v>
      </c>
      <c r="F22" s="390">
        <f>SUM(B20:B22)</f>
        <v>97.22</v>
      </c>
    </row>
    <row r="23" spans="1:6" s="1" customFormat="1" ht="25.5" x14ac:dyDescent="0.2">
      <c r="A23" s="294" t="s">
        <v>138</v>
      </c>
      <c r="B23" s="114" t="e">
        <f>#REF!</f>
        <v>#REF!</v>
      </c>
      <c r="C23" s="115"/>
      <c r="D23" s="115" t="s">
        <v>139</v>
      </c>
      <c r="E23" s="116" t="s">
        <v>140</v>
      </c>
      <c r="F23" s="286"/>
    </row>
    <row r="24" spans="1:6" s="1" customFormat="1" ht="25.5" x14ac:dyDescent="0.2">
      <c r="A24" s="294" t="s">
        <v>138</v>
      </c>
      <c r="B24" s="74" t="e">
        <f>#REF!</f>
        <v>#REF!</v>
      </c>
      <c r="C24" s="75"/>
      <c r="D24" s="75" t="s">
        <v>141</v>
      </c>
      <c r="E24" s="76" t="s">
        <v>134</v>
      </c>
      <c r="F24" s="286"/>
    </row>
    <row r="25" spans="1:6" s="1" customFormat="1" ht="25.5" x14ac:dyDescent="0.2">
      <c r="A25" s="294">
        <v>43801</v>
      </c>
      <c r="B25" s="74" t="e">
        <f>#REF!+#REF!</f>
        <v>#REF!</v>
      </c>
      <c r="C25" s="75"/>
      <c r="D25" s="75" t="s">
        <v>135</v>
      </c>
      <c r="E25" s="76" t="s">
        <v>134</v>
      </c>
      <c r="F25" s="286"/>
    </row>
    <row r="26" spans="1:6" s="1" customFormat="1" ht="25.5" x14ac:dyDescent="0.2">
      <c r="A26" s="294">
        <v>43801</v>
      </c>
      <c r="B26" s="74" t="e">
        <f>#REF!+#REF!+#REF!</f>
        <v>#REF!</v>
      </c>
      <c r="C26" s="75"/>
      <c r="D26" s="75" t="s">
        <v>142</v>
      </c>
      <c r="E26" s="76" t="s">
        <v>134</v>
      </c>
      <c r="F26" s="286"/>
    </row>
    <row r="27" spans="1:6" s="1" customFormat="1" ht="25.5" x14ac:dyDescent="0.2">
      <c r="A27" s="294">
        <v>43802</v>
      </c>
      <c r="B27" s="74" t="e">
        <f>#REF!</f>
        <v>#REF!</v>
      </c>
      <c r="C27" s="75"/>
      <c r="D27" s="75" t="s">
        <v>135</v>
      </c>
      <c r="E27" s="76" t="s">
        <v>134</v>
      </c>
      <c r="F27" s="286"/>
    </row>
    <row r="28" spans="1:6" s="1" customFormat="1" ht="25.5" x14ac:dyDescent="0.2">
      <c r="A28" s="294">
        <v>43802</v>
      </c>
      <c r="B28" s="74" t="e">
        <f>#REF!</f>
        <v>#REF!</v>
      </c>
      <c r="C28" s="75"/>
      <c r="D28" s="75" t="s">
        <v>133</v>
      </c>
      <c r="E28" s="76" t="s">
        <v>134</v>
      </c>
      <c r="F28" s="286"/>
    </row>
    <row r="29" spans="1:6" s="1" customFormat="1" ht="25.5" x14ac:dyDescent="0.2">
      <c r="A29" s="294">
        <v>43802</v>
      </c>
      <c r="B29" s="74" t="e">
        <f>#REF!</f>
        <v>#REF!</v>
      </c>
      <c r="C29" s="75"/>
      <c r="D29" s="75" t="s">
        <v>143</v>
      </c>
      <c r="E29" s="76" t="s">
        <v>134</v>
      </c>
      <c r="F29" s="286"/>
    </row>
    <row r="30" spans="1:6" s="1" customFormat="1" ht="51" x14ac:dyDescent="0.2">
      <c r="A30" s="420">
        <v>43802</v>
      </c>
      <c r="B30" s="386" t="e">
        <f>#REF!</f>
        <v>#REF!</v>
      </c>
      <c r="C30" s="387"/>
      <c r="D30" s="387" t="s">
        <v>144</v>
      </c>
      <c r="E30" s="388" t="s">
        <v>137</v>
      </c>
      <c r="F30" s="390" t="e">
        <f>SUM(B23:B30)</f>
        <v>#REF!</v>
      </c>
    </row>
    <row r="31" spans="1:6" s="1" customFormat="1" ht="25.5" x14ac:dyDescent="0.2">
      <c r="A31" s="421">
        <v>43908</v>
      </c>
      <c r="B31" s="418">
        <f>GETPIVOTDATA("Net",'Orbit Nov-Mar 20'!$A$37,"A/C Code",3605,"Departure Date",DATE(2020,3,18),"Reason for Travel","Staff Meetings And Attend Germany Perception Event")</f>
        <v>25.85</v>
      </c>
      <c r="C31" s="419"/>
      <c r="D31" s="419" t="s">
        <v>145</v>
      </c>
      <c r="E31" s="419" t="s">
        <v>137</v>
      </c>
      <c r="F31" s="286"/>
    </row>
    <row r="32" spans="1:6" ht="27.75" customHeight="1" x14ac:dyDescent="0.2">
      <c r="A32" s="87" t="s">
        <v>146</v>
      </c>
      <c r="B32" s="88" t="e">
        <f>SUM(B20:B31)</f>
        <v>#REF!</v>
      </c>
      <c r="C32" s="89" t="str">
        <f>IF(SUBTOTAL(3,B23:B31)=SUBTOTAL(103,B23:B31),'Summary and sign-off'!$A$47,'Summary and sign-off'!$A$48)</f>
        <v>Check - there are no hidden rows with data</v>
      </c>
      <c r="D32" s="734" t="s">
        <v>102</v>
      </c>
      <c r="E32" s="734"/>
      <c r="F32" s="18"/>
    </row>
    <row r="33" spans="1:6" ht="10.5" customHeight="1" x14ac:dyDescent="0.2">
      <c r="A33" s="18"/>
      <c r="B33" s="20"/>
      <c r="C33" s="18"/>
      <c r="D33" s="18"/>
      <c r="E33" s="18"/>
      <c r="F33" s="18"/>
    </row>
    <row r="34" spans="1:6" ht="24.75" customHeight="1" x14ac:dyDescent="0.2">
      <c r="A34" s="735" t="s">
        <v>147</v>
      </c>
      <c r="B34" s="735"/>
      <c r="C34" s="735"/>
      <c r="D34" s="735"/>
      <c r="E34" s="735"/>
      <c r="F34" s="18"/>
    </row>
    <row r="35" spans="1:6" ht="27" customHeight="1" x14ac:dyDescent="0.2">
      <c r="A35" s="25" t="s">
        <v>116</v>
      </c>
      <c r="B35" s="25" t="s">
        <v>64</v>
      </c>
      <c r="C35" s="25" t="s">
        <v>117</v>
      </c>
      <c r="D35" s="25" t="s">
        <v>118</v>
      </c>
      <c r="E35" s="25" t="s">
        <v>119</v>
      </c>
      <c r="F35" s="29"/>
    </row>
    <row r="36" spans="1:6" s="1" customFormat="1" x14ac:dyDescent="0.2">
      <c r="A36" s="77">
        <v>43882</v>
      </c>
      <c r="B36" s="74">
        <f>'Taxicharge Nov-Mar 20'!J3</f>
        <v>9.57</v>
      </c>
      <c r="C36" s="75"/>
      <c r="D36" s="75" t="s">
        <v>148</v>
      </c>
      <c r="E36" s="76" t="s">
        <v>137</v>
      </c>
      <c r="F36" s="117" t="s">
        <v>149</v>
      </c>
    </row>
    <row r="37" spans="1:6" s="1" customFormat="1" x14ac:dyDescent="0.2">
      <c r="A37" s="77"/>
      <c r="B37" s="74"/>
      <c r="C37" s="75"/>
      <c r="D37" s="75"/>
      <c r="E37" s="76"/>
      <c r="F37" s="117"/>
    </row>
    <row r="38" spans="1:6" s="1" customFormat="1" x14ac:dyDescent="0.2">
      <c r="A38" s="77"/>
      <c r="B38" s="74"/>
      <c r="C38" s="75"/>
      <c r="D38" s="75"/>
      <c r="E38" s="76"/>
      <c r="F38" s="117"/>
    </row>
    <row r="39" spans="1:6" ht="28.5" customHeight="1" x14ac:dyDescent="0.2">
      <c r="A39" s="87" t="s">
        <v>150</v>
      </c>
      <c r="B39" s="88">
        <f>SUM(B36:B38)</f>
        <v>9.57</v>
      </c>
      <c r="C39" s="89" t="str">
        <f>IF(SUBTOTAL(3,B36:B36)=SUBTOTAL(103,B36:B36),'Summary and sign-off'!$A$47,'Summary and sign-off'!$A$48)</f>
        <v>Check - there are no hidden rows with data</v>
      </c>
      <c r="D39" s="734" t="str">
        <f>IF('Summary and sign-off'!F56='Summary and sign-off'!F53,'Summary and sign-off'!A50,'Summary and sign-off'!A49)</f>
        <v>Check - each entry provides sufficient information</v>
      </c>
      <c r="E39" s="734"/>
      <c r="F39" s="18"/>
    </row>
    <row r="40" spans="1:6" ht="10.5" customHeight="1" x14ac:dyDescent="0.2">
      <c r="A40" s="18"/>
      <c r="B40" s="62"/>
      <c r="C40" s="20"/>
      <c r="D40" s="18"/>
      <c r="E40" s="18"/>
      <c r="F40" s="18"/>
    </row>
    <row r="41" spans="1:6" ht="34.5" customHeight="1" x14ac:dyDescent="0.2">
      <c r="A41" s="32" t="s">
        <v>151</v>
      </c>
      <c r="B41" s="63" t="e">
        <f>B16+B32+B39</f>
        <v>#REF!</v>
      </c>
      <c r="C41" s="33"/>
      <c r="D41" s="33"/>
      <c r="E41" s="33"/>
      <c r="F41" s="18"/>
    </row>
    <row r="42" spans="1:6" x14ac:dyDescent="0.2">
      <c r="A42" s="18"/>
      <c r="B42" s="20"/>
      <c r="C42" s="18"/>
      <c r="D42" s="18"/>
      <c r="E42" s="18"/>
      <c r="F42" s="18"/>
    </row>
    <row r="43" spans="1:6" x14ac:dyDescent="0.2">
      <c r="A43" s="19" t="s">
        <v>75</v>
      </c>
      <c r="B43" s="20"/>
      <c r="C43" s="18"/>
      <c r="D43" s="18"/>
      <c r="E43" s="18"/>
      <c r="F43" s="18"/>
    </row>
    <row r="44" spans="1:6" ht="12.6" customHeight="1" x14ac:dyDescent="0.2">
      <c r="A44" s="21" t="s">
        <v>152</v>
      </c>
      <c r="F44" s="18"/>
    </row>
    <row r="45" spans="1:6" ht="12.95" customHeight="1" x14ac:dyDescent="0.2">
      <c r="A45" s="21" t="s">
        <v>153</v>
      </c>
      <c r="B45" s="18"/>
      <c r="D45" s="18"/>
      <c r="F45" s="18"/>
    </row>
    <row r="46" spans="1:6" x14ac:dyDescent="0.2">
      <c r="A46" s="21" t="s">
        <v>154</v>
      </c>
      <c r="F46" s="18"/>
    </row>
    <row r="47" spans="1:6" x14ac:dyDescent="0.2">
      <c r="A47" s="21" t="s">
        <v>81</v>
      </c>
      <c r="B47" s="20"/>
      <c r="C47" s="18"/>
      <c r="D47" s="18"/>
      <c r="E47" s="18"/>
      <c r="F47" s="18"/>
    </row>
    <row r="48" spans="1:6" ht="12.95" customHeight="1" x14ac:dyDescent="0.2">
      <c r="A48" s="21" t="s">
        <v>155</v>
      </c>
      <c r="B48" s="18"/>
      <c r="D48" s="18"/>
      <c r="F48" s="18"/>
    </row>
    <row r="49" spans="1:6" x14ac:dyDescent="0.2">
      <c r="A49" s="21" t="s">
        <v>156</v>
      </c>
      <c r="F49" s="18"/>
    </row>
    <row r="50" spans="1:6" x14ac:dyDescent="0.2">
      <c r="A50" s="21" t="s">
        <v>157</v>
      </c>
      <c r="B50" s="21"/>
      <c r="C50" s="21"/>
      <c r="D50" s="21"/>
      <c r="F50" s="18"/>
    </row>
    <row r="51" spans="1:6" x14ac:dyDescent="0.2">
      <c r="A51" s="27"/>
      <c r="B51" s="18"/>
      <c r="C51" s="18"/>
      <c r="D51" s="18"/>
      <c r="E51" s="18"/>
      <c r="F51" s="18"/>
    </row>
    <row r="52" spans="1:6" hidden="1" x14ac:dyDescent="0.2">
      <c r="A52" s="27"/>
      <c r="B52" s="18"/>
      <c r="C52" s="18"/>
      <c r="D52" s="18"/>
      <c r="E52" s="18"/>
      <c r="F52" s="18"/>
    </row>
    <row r="57" spans="1:6" ht="12.75" hidden="1" customHeight="1" x14ac:dyDescent="0.2"/>
    <row r="60" spans="1:6" hidden="1" x14ac:dyDescent="0.2">
      <c r="A60" s="27"/>
      <c r="B60" s="18"/>
      <c r="C60" s="18"/>
      <c r="D60" s="18"/>
      <c r="E60" s="18"/>
      <c r="F60" s="18"/>
    </row>
    <row r="61" spans="1:6" hidden="1" x14ac:dyDescent="0.2">
      <c r="A61" s="27"/>
      <c r="B61" s="18"/>
      <c r="C61" s="18"/>
      <c r="D61" s="18"/>
      <c r="E61" s="18"/>
      <c r="F61" s="18"/>
    </row>
    <row r="62" spans="1:6" hidden="1" x14ac:dyDescent="0.2">
      <c r="A62" s="27"/>
      <c r="B62" s="18"/>
      <c r="C62" s="18"/>
      <c r="D62" s="18"/>
      <c r="E62" s="18"/>
      <c r="F62" s="18"/>
    </row>
    <row r="63" spans="1:6" hidden="1" x14ac:dyDescent="0.2">
      <c r="A63" s="27"/>
      <c r="B63" s="18"/>
      <c r="C63" s="18"/>
      <c r="D63" s="18"/>
      <c r="E63" s="18"/>
      <c r="F63" s="18"/>
    </row>
    <row r="64" spans="1:6" hidden="1" x14ac:dyDescent="0.2">
      <c r="A64" s="27"/>
      <c r="B64" s="18"/>
      <c r="C64" s="18"/>
      <c r="D64" s="18"/>
      <c r="E64" s="18"/>
      <c r="F64" s="18"/>
    </row>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sheetData>
  <sheetProtection formatCells="0" formatRows="0" insertColumns="0" insertRows="0" deleteRows="0"/>
  <mergeCells count="15">
    <mergeCell ref="B7:E7"/>
    <mergeCell ref="B5:E5"/>
    <mergeCell ref="D39:E39"/>
    <mergeCell ref="A1:E1"/>
    <mergeCell ref="A18:E18"/>
    <mergeCell ref="A34:E34"/>
    <mergeCell ref="B2:E2"/>
    <mergeCell ref="B3:E3"/>
    <mergeCell ref="B4:E4"/>
    <mergeCell ref="A8:E8"/>
    <mergeCell ref="A9:E9"/>
    <mergeCell ref="B6:E6"/>
    <mergeCell ref="D16:E16"/>
    <mergeCell ref="D32:E32"/>
    <mergeCell ref="A10:E10"/>
  </mergeCells>
  <phoneticPr fontId="104" type="noConversion"/>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6:A38 A12:A15 A20: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9 A11" xr:uid="{00000000-0002-0000-0200-000001000000}"/>
  </dataValidations>
  <pageMargins left="0.23" right="0.21" top="0.35" bottom="0.57999999999999996" header="0.22" footer="0.16"/>
  <pageSetup paperSize="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B36:B38 B12:B15 B20:B31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7"/>
  <sheetViews>
    <sheetView zoomScaleNormal="100" workbookViewId="0">
      <selection activeCell="A54" sqref="A54"/>
    </sheetView>
  </sheetViews>
  <sheetFormatPr defaultColWidth="0" defaultRowHeight="12.75" zeroHeight="1" x14ac:dyDescent="0.2"/>
  <cols>
    <col min="1" max="1" width="26" customWidth="1"/>
    <col min="2" max="2" width="14.28515625" customWidth="1"/>
    <col min="3" max="3" width="54.85546875" customWidth="1"/>
    <col min="4" max="4" width="22.28515625" customWidth="1"/>
    <col min="5" max="5" width="21.42578125" customWidth="1"/>
    <col min="6" max="6" width="23.140625" bestFit="1" customWidth="1"/>
    <col min="7" max="10" width="9.140625" hidden="1" customWidth="1"/>
    <col min="11" max="13" width="0" hidden="1" customWidth="1"/>
  </cols>
  <sheetData>
    <row r="1" spans="1:6" ht="26.25" customHeight="1" x14ac:dyDescent="0.2">
      <c r="A1" s="730" t="s">
        <v>111</v>
      </c>
      <c r="B1" s="730"/>
      <c r="C1" s="730"/>
      <c r="D1" s="730"/>
      <c r="E1" s="730"/>
    </row>
    <row r="2" spans="1:6" ht="21" customHeight="1" x14ac:dyDescent="0.2">
      <c r="A2" s="2" t="s">
        <v>52</v>
      </c>
      <c r="B2" s="733" t="str">
        <f>'Summary and sign-off'!B2:F2</f>
        <v>Education New Zealand</v>
      </c>
      <c r="C2" s="733"/>
      <c r="D2" s="733"/>
      <c r="E2" s="733"/>
    </row>
    <row r="3" spans="1:6" ht="21" customHeight="1" x14ac:dyDescent="0.2">
      <c r="A3" s="2" t="s">
        <v>54</v>
      </c>
      <c r="B3" s="733" t="str">
        <f>'Summary and sign-off'!B3:F3</f>
        <v>Grant McPherson</v>
      </c>
      <c r="C3" s="733"/>
      <c r="D3" s="733"/>
      <c r="E3" s="733"/>
    </row>
    <row r="4" spans="1:6" ht="21" customHeight="1" x14ac:dyDescent="0.2">
      <c r="A4" s="2" t="s">
        <v>56</v>
      </c>
      <c r="B4" s="733">
        <f>'Summary and sign-off'!B4:F4</f>
        <v>43770</v>
      </c>
      <c r="C4" s="733"/>
      <c r="D4" s="733"/>
      <c r="E4" s="733"/>
    </row>
    <row r="5" spans="1:6" ht="21" customHeight="1" x14ac:dyDescent="0.2">
      <c r="A5" s="2" t="s">
        <v>57</v>
      </c>
      <c r="B5" s="733">
        <f>'Summary and sign-off'!B5:F5</f>
        <v>43921</v>
      </c>
      <c r="C5" s="733"/>
      <c r="D5" s="733"/>
      <c r="E5" s="733"/>
    </row>
    <row r="6" spans="1:6" ht="21" customHeight="1" x14ac:dyDescent="0.2">
      <c r="A6" s="2" t="s">
        <v>112</v>
      </c>
      <c r="B6" s="728" t="s">
        <v>83</v>
      </c>
      <c r="C6" s="728"/>
      <c r="D6" s="728"/>
      <c r="E6" s="728"/>
    </row>
    <row r="7" spans="1:6" ht="21" customHeight="1" x14ac:dyDescent="0.2">
      <c r="A7" s="2" t="s">
        <v>58</v>
      </c>
      <c r="B7" s="728" t="s">
        <v>85</v>
      </c>
      <c r="C7" s="728"/>
      <c r="D7" s="728"/>
      <c r="E7" s="728"/>
    </row>
    <row r="8" spans="1:6" ht="35.25" customHeight="1" x14ac:dyDescent="0.25">
      <c r="A8" s="743" t="s">
        <v>158</v>
      </c>
      <c r="B8" s="743"/>
      <c r="C8" s="744"/>
      <c r="D8" s="744"/>
      <c r="E8" s="744"/>
      <c r="F8" s="28"/>
    </row>
    <row r="9" spans="1:6" ht="35.25" customHeight="1" x14ac:dyDescent="0.25">
      <c r="A9" s="741" t="s">
        <v>159</v>
      </c>
      <c r="B9" s="742"/>
      <c r="C9" s="742"/>
      <c r="D9" s="742"/>
      <c r="E9" s="742"/>
      <c r="F9" s="28"/>
    </row>
    <row r="10" spans="1:6" ht="27.75" customHeight="1" x14ac:dyDescent="0.2">
      <c r="A10" s="25" t="s">
        <v>160</v>
      </c>
      <c r="B10" s="25" t="s">
        <v>64</v>
      </c>
      <c r="C10" s="25" t="s">
        <v>161</v>
      </c>
      <c r="D10" s="25" t="s">
        <v>118</v>
      </c>
      <c r="E10" s="25" t="s">
        <v>119</v>
      </c>
      <c r="F10" s="21"/>
    </row>
    <row r="11" spans="1:6" s="1" customFormat="1" x14ac:dyDescent="0.2">
      <c r="A11" s="77"/>
      <c r="B11" s="74"/>
      <c r="C11" s="79"/>
      <c r="D11" s="79"/>
      <c r="E11" s="80"/>
      <c r="F11" s="118"/>
    </row>
    <row r="12" spans="1:6" s="1" customFormat="1" x14ac:dyDescent="0.2">
      <c r="A12" s="77" t="s">
        <v>162</v>
      </c>
      <c r="B12" s="74"/>
      <c r="C12" s="79"/>
      <c r="D12" s="79"/>
      <c r="E12" s="80"/>
      <c r="F12" s="118"/>
    </row>
    <row r="13" spans="1:6" s="1" customFormat="1" x14ac:dyDescent="0.2">
      <c r="A13" s="77"/>
      <c r="B13" s="74"/>
      <c r="C13" s="79"/>
      <c r="D13" s="79"/>
      <c r="E13" s="80"/>
      <c r="F13" s="118"/>
    </row>
    <row r="14" spans="1:6" ht="34.5" customHeight="1" x14ac:dyDescent="0.2">
      <c r="A14" s="55" t="s">
        <v>163</v>
      </c>
      <c r="B14" s="67">
        <f>SUM(B11:B13)</f>
        <v>0</v>
      </c>
      <c r="C14" s="86" t="str">
        <f>IF(SUBTOTAL(3,B11:B13)=SUBTOTAL(103,B11:B13),'Summary and sign-off'!$A$47,'Summary and sign-off'!$A$48)</f>
        <v>Check - there are no hidden rows with data</v>
      </c>
      <c r="D14" s="734" t="str">
        <f>IF('Summary and sign-off'!F57='Summary and sign-off'!F53,'Summary and sign-off'!A50,'Summary and sign-off'!A49)</f>
        <v>Check - each entry provides sufficient information</v>
      </c>
      <c r="E14" s="734"/>
      <c r="F14" s="1"/>
    </row>
    <row r="15" spans="1:6" x14ac:dyDescent="0.2">
      <c r="A15" s="19"/>
      <c r="B15" s="18"/>
      <c r="C15" s="18"/>
      <c r="D15" s="18"/>
      <c r="E15" s="18"/>
    </row>
    <row r="16" spans="1:6" x14ac:dyDescent="0.2">
      <c r="A16" s="19" t="s">
        <v>75</v>
      </c>
      <c r="B16" s="20"/>
      <c r="C16" s="18"/>
      <c r="D16" s="18"/>
      <c r="E16" s="18"/>
    </row>
    <row r="17" spans="1:6" ht="12.75" customHeight="1" x14ac:dyDescent="0.2">
      <c r="A17" s="21" t="s">
        <v>164</v>
      </c>
      <c r="B17" s="21"/>
      <c r="C17" s="21"/>
      <c r="D17" s="21"/>
      <c r="E17" s="21"/>
    </row>
    <row r="18" spans="1:6" x14ac:dyDescent="0.2">
      <c r="A18" s="21" t="s">
        <v>165</v>
      </c>
      <c r="B18" s="21"/>
      <c r="C18" s="29"/>
      <c r="D18" s="29"/>
      <c r="E18" s="29"/>
    </row>
    <row r="19" spans="1:6" x14ac:dyDescent="0.2">
      <c r="A19" s="21" t="s">
        <v>81</v>
      </c>
      <c r="B19" s="20"/>
      <c r="C19" s="18"/>
      <c r="D19" s="18"/>
      <c r="E19" s="18"/>
      <c r="F19" s="18"/>
    </row>
    <row r="20" spans="1:6" x14ac:dyDescent="0.2">
      <c r="A20" s="21" t="s">
        <v>166</v>
      </c>
      <c r="B20" s="21"/>
      <c r="C20" s="29"/>
      <c r="D20" s="29"/>
      <c r="E20" s="29"/>
    </row>
    <row r="21" spans="1:6" ht="12.75" customHeight="1" x14ac:dyDescent="0.2">
      <c r="A21" s="21" t="s">
        <v>167</v>
      </c>
      <c r="B21" s="21"/>
      <c r="C21" s="23"/>
      <c r="D21" s="23"/>
      <c r="E21" s="23"/>
    </row>
    <row r="22" spans="1:6" x14ac:dyDescent="0.2">
      <c r="A22" s="18"/>
      <c r="B22" s="18"/>
      <c r="C22" s="18"/>
      <c r="D22" s="18"/>
      <c r="E22" s="18"/>
    </row>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sheetData>
  <sheetProtection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xr:uid="{00000000-0002-0000-0300-000000000000}">
      <formula1>$B$4</formula1>
      <formula2>$B$5</formula2>
    </dataValidation>
  </dataValidations>
  <pageMargins left="0.31496062992125984" right="0.19685039370078741" top="0.74803149606299213" bottom="0.74803149606299213" header="0.31496062992125984" footer="0.31496062992125984"/>
  <pageSetup paperSize="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zoomScaleNormal="100" workbookViewId="0">
      <selection activeCell="A54" sqref="A54"/>
    </sheetView>
  </sheetViews>
  <sheetFormatPr defaultColWidth="0" defaultRowHeight="12.75" zeroHeight="1" x14ac:dyDescent="0.2"/>
  <cols>
    <col min="1" max="1" width="22.140625" customWidth="1"/>
    <col min="2" max="2" width="14.28515625" customWidth="1"/>
    <col min="3" max="3" width="49" customWidth="1"/>
    <col min="4" max="4" width="28.28515625" customWidth="1"/>
    <col min="5" max="5" width="24" customWidth="1"/>
    <col min="6" max="6" width="20.7109375" bestFit="1" customWidth="1"/>
    <col min="7" max="10" width="9.140625" hidden="1" customWidth="1"/>
    <col min="11" max="13" width="0" hidden="1" customWidth="1"/>
    <col min="14" max="16384" width="9.140625" hidden="1"/>
  </cols>
  <sheetData>
    <row r="1" spans="1:6" ht="26.25" customHeight="1" x14ac:dyDescent="0.2">
      <c r="A1" s="730" t="s">
        <v>111</v>
      </c>
      <c r="B1" s="730"/>
      <c r="C1" s="730"/>
      <c r="D1" s="730"/>
      <c r="E1" s="730"/>
    </row>
    <row r="2" spans="1:6" ht="21" customHeight="1" x14ac:dyDescent="0.2">
      <c r="A2" s="2" t="s">
        <v>52</v>
      </c>
      <c r="B2" s="733" t="str">
        <f>'Summary and sign-off'!B2:F2</f>
        <v>Education New Zealand</v>
      </c>
      <c r="C2" s="733"/>
      <c r="D2" s="733"/>
      <c r="E2" s="733"/>
    </row>
    <row r="3" spans="1:6" ht="29.25" customHeight="1" x14ac:dyDescent="0.2">
      <c r="A3" s="2" t="s">
        <v>54</v>
      </c>
      <c r="B3" s="733" t="str">
        <f>'Summary and sign-off'!B3:F3</f>
        <v>Grant McPherson</v>
      </c>
      <c r="C3" s="733"/>
      <c r="D3" s="733"/>
      <c r="E3" s="733"/>
    </row>
    <row r="4" spans="1:6" ht="34.5" customHeight="1" x14ac:dyDescent="0.2">
      <c r="A4" s="2" t="s">
        <v>56</v>
      </c>
      <c r="B4" s="733">
        <f>'Summary and sign-off'!B4:F4</f>
        <v>43770</v>
      </c>
      <c r="C4" s="733"/>
      <c r="D4" s="733"/>
      <c r="E4" s="733"/>
    </row>
    <row r="5" spans="1:6" ht="35.25" customHeight="1" x14ac:dyDescent="0.2">
      <c r="A5" s="2" t="s">
        <v>57</v>
      </c>
      <c r="B5" s="733">
        <f>'Summary and sign-off'!B5:F5</f>
        <v>43921</v>
      </c>
      <c r="C5" s="733"/>
      <c r="D5" s="733"/>
      <c r="E5" s="733"/>
    </row>
    <row r="6" spans="1:6" ht="21" customHeight="1" x14ac:dyDescent="0.2">
      <c r="A6" s="2" t="s">
        <v>112</v>
      </c>
      <c r="B6" s="728" t="s">
        <v>83</v>
      </c>
      <c r="C6" s="728"/>
      <c r="D6" s="728"/>
      <c r="E6" s="728"/>
      <c r="F6" s="24"/>
    </row>
    <row r="7" spans="1:6" ht="29.25" customHeight="1" x14ac:dyDescent="0.2">
      <c r="A7" s="2" t="s">
        <v>58</v>
      </c>
      <c r="B7" s="728" t="s">
        <v>85</v>
      </c>
      <c r="C7" s="728"/>
      <c r="D7" s="728"/>
      <c r="E7" s="728"/>
      <c r="F7" s="24"/>
    </row>
    <row r="8" spans="1:6" ht="35.25" customHeight="1" x14ac:dyDescent="0.2">
      <c r="A8" s="737" t="s">
        <v>168</v>
      </c>
      <c r="B8" s="737"/>
      <c r="C8" s="744"/>
      <c r="D8" s="744"/>
      <c r="E8" s="744"/>
    </row>
    <row r="9" spans="1:6" ht="35.25" customHeight="1" x14ac:dyDescent="0.2">
      <c r="A9" s="745" t="s">
        <v>169</v>
      </c>
      <c r="B9" s="746"/>
      <c r="C9" s="746"/>
      <c r="D9" s="746"/>
      <c r="E9" s="746"/>
    </row>
    <row r="10" spans="1:6" ht="27" customHeight="1" x14ac:dyDescent="0.2">
      <c r="A10" s="25" t="s">
        <v>116</v>
      </c>
      <c r="B10" s="25" t="s">
        <v>64</v>
      </c>
      <c r="C10" s="25" t="s">
        <v>170</v>
      </c>
      <c r="D10" s="25" t="s">
        <v>118</v>
      </c>
      <c r="E10" s="25" t="s">
        <v>119</v>
      </c>
      <c r="F10" s="21"/>
    </row>
    <row r="11" spans="1:6" s="1" customFormat="1" x14ac:dyDescent="0.2">
      <c r="A11" s="73">
        <v>43799</v>
      </c>
      <c r="B11" s="74">
        <f>'Vodafone Nov-Mar 20'!G11</f>
        <v>51.7</v>
      </c>
      <c r="C11" s="79" t="s">
        <v>171</v>
      </c>
      <c r="D11" s="79" t="s">
        <v>172</v>
      </c>
      <c r="E11" s="80" t="s">
        <v>173</v>
      </c>
      <c r="F11" s="118"/>
    </row>
    <row r="12" spans="1:6" s="1" customFormat="1" x14ac:dyDescent="0.2">
      <c r="A12" s="73">
        <v>43830</v>
      </c>
      <c r="B12" s="74">
        <f>'Vodafone Nov-Mar 20'!G25</f>
        <v>59.38</v>
      </c>
      <c r="C12" s="79" t="s">
        <v>174</v>
      </c>
      <c r="D12" s="79" t="s">
        <v>172</v>
      </c>
      <c r="E12" s="80" t="s">
        <v>173</v>
      </c>
      <c r="F12" s="118"/>
    </row>
    <row r="13" spans="1:6" s="1" customFormat="1" x14ac:dyDescent="0.2">
      <c r="A13" s="77">
        <v>43861</v>
      </c>
      <c r="B13" s="74">
        <f>'Vodafone Nov-Mar 20'!G40</f>
        <v>93.699999999999989</v>
      </c>
      <c r="C13" s="79" t="s">
        <v>175</v>
      </c>
      <c r="D13" s="79" t="s">
        <v>172</v>
      </c>
      <c r="E13" s="80" t="s">
        <v>176</v>
      </c>
      <c r="F13" s="118"/>
    </row>
    <row r="14" spans="1:6" s="1" customFormat="1" x14ac:dyDescent="0.2">
      <c r="A14" s="77">
        <v>43890</v>
      </c>
      <c r="B14" s="74">
        <f>'Vodafone Nov-Mar 20'!G58</f>
        <v>24.040000000000003</v>
      </c>
      <c r="C14" s="79" t="s">
        <v>177</v>
      </c>
      <c r="D14" s="79" t="s">
        <v>172</v>
      </c>
      <c r="E14" s="80" t="s">
        <v>173</v>
      </c>
      <c r="F14" s="118"/>
    </row>
    <row r="15" spans="1:6" s="1" customFormat="1" x14ac:dyDescent="0.2">
      <c r="A15" s="77">
        <v>43921</v>
      </c>
      <c r="B15" s="74">
        <f>'Vodafone Nov-Mar 20'!G77</f>
        <v>23.700000000000003</v>
      </c>
      <c r="C15" s="79" t="s">
        <v>178</v>
      </c>
      <c r="D15" s="79" t="s">
        <v>172</v>
      </c>
      <c r="E15" s="80" t="s">
        <v>173</v>
      </c>
      <c r="F15" s="118"/>
    </row>
    <row r="16" spans="1:6" ht="34.5" customHeight="1" x14ac:dyDescent="0.2">
      <c r="A16" s="55" t="s">
        <v>179</v>
      </c>
      <c r="B16" s="67">
        <f>SUM(B11:B15)</f>
        <v>252.51999999999998</v>
      </c>
      <c r="C16" s="86" t="str">
        <f>IF(SUBTOTAL(3,B11:B15)=SUBTOTAL(103,B11:B15),'Summary and sign-off'!$A$47,'Summary and sign-off'!$A$48)</f>
        <v>Check - there are no hidden rows with data</v>
      </c>
      <c r="D16" s="734" t="str">
        <f>IF('Summary and sign-off'!F58='Summary and sign-off'!F53,'Summary and sign-off'!A50,'Summary and sign-off'!A49)</f>
        <v>Check - each entry provides sufficient information</v>
      </c>
      <c r="E16" s="734"/>
    </row>
    <row r="17" spans="1:6" ht="14.1" customHeight="1" x14ac:dyDescent="0.2">
      <c r="B17" s="18"/>
      <c r="C17" s="18"/>
      <c r="D17" s="18"/>
      <c r="E17" s="18"/>
    </row>
    <row r="18" spans="1:6" x14ac:dyDescent="0.2">
      <c r="A18" s="19" t="s">
        <v>180</v>
      </c>
      <c r="B18" s="18"/>
      <c r="C18" s="18"/>
      <c r="D18" s="18"/>
      <c r="E18" s="18"/>
    </row>
    <row r="19" spans="1:6" ht="12.6" customHeight="1" x14ac:dyDescent="0.2">
      <c r="A19" s="21" t="s">
        <v>152</v>
      </c>
      <c r="B19" s="18"/>
      <c r="C19" s="18"/>
      <c r="D19" s="18"/>
      <c r="E19" s="18"/>
    </row>
    <row r="20" spans="1:6" x14ac:dyDescent="0.2">
      <c r="A20" s="21" t="s">
        <v>81</v>
      </c>
      <c r="B20" s="20"/>
      <c r="C20" s="18"/>
      <c r="D20" s="18"/>
      <c r="E20" s="18"/>
      <c r="F20" s="18"/>
    </row>
    <row r="21" spans="1:6" x14ac:dyDescent="0.2">
      <c r="A21" s="21" t="s">
        <v>166</v>
      </c>
      <c r="C21" s="18"/>
      <c r="D21" s="18"/>
      <c r="E21" s="18"/>
      <c r="F21" s="18"/>
    </row>
    <row r="22" spans="1:6" ht="12.75" customHeight="1" x14ac:dyDescent="0.2">
      <c r="A22" s="21" t="s">
        <v>167</v>
      </c>
      <c r="B22" s="26"/>
      <c r="C22" s="23"/>
      <c r="D22" s="23"/>
      <c r="E22" s="23"/>
      <c r="F22" s="23"/>
    </row>
    <row r="23" spans="1:6" x14ac:dyDescent="0.2">
      <c r="B23" s="27"/>
      <c r="C23" s="18"/>
      <c r="D23" s="18"/>
      <c r="E23" s="18"/>
    </row>
    <row r="24" spans="1:6" hidden="1" x14ac:dyDescent="0.2">
      <c r="A24" s="18"/>
      <c r="B24" s="18"/>
      <c r="C24" s="18"/>
      <c r="D24" s="18"/>
    </row>
    <row r="25" spans="1:6" ht="12.75" hidden="1" customHeight="1" x14ac:dyDescent="0.2"/>
    <row r="26" spans="1:6" hidden="1" x14ac:dyDescent="0.2">
      <c r="A26" s="18"/>
      <c r="B26" s="18"/>
      <c r="C26" s="18"/>
      <c r="D26" s="18"/>
      <c r="E26" s="18"/>
    </row>
    <row r="27" spans="1:6" hidden="1" x14ac:dyDescent="0.2">
      <c r="A27" s="18"/>
      <c r="B27" s="18"/>
      <c r="C27" s="18"/>
      <c r="D27" s="18"/>
      <c r="E27" s="18"/>
    </row>
    <row r="28" spans="1:6" hidden="1" x14ac:dyDescent="0.2">
      <c r="A28" s="18"/>
      <c r="B28" s="18"/>
      <c r="C28" s="18"/>
      <c r="D28" s="18"/>
      <c r="E28" s="18"/>
    </row>
    <row r="29" spans="1:6" hidden="1" x14ac:dyDescent="0.2">
      <c r="A29" s="18"/>
      <c r="B29" s="18"/>
      <c r="C29" s="18"/>
      <c r="D29" s="18"/>
      <c r="E29" s="18"/>
    </row>
    <row r="30" spans="1:6" hidden="1" x14ac:dyDescent="0.2">
      <c r="A30" s="18"/>
      <c r="B30" s="18"/>
      <c r="C30" s="18"/>
      <c r="D30" s="18"/>
      <c r="E30" s="18"/>
    </row>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phoneticPr fontId="104" type="noConversion"/>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400-000000000000}">
      <formula1>$B$4</formula1>
      <formula2>$B$5</formula2>
    </dataValidation>
  </dataValidations>
  <pageMargins left="0.3" right="0.19" top="0.74803149606299213" bottom="0.74803149606299213" header="0.31496062992125984" footer="0.31496062992125984"/>
  <pageSetup paperSize="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65"/>
  <sheetViews>
    <sheetView zoomScaleNormal="100" workbookViewId="0">
      <selection activeCell="A54" sqref="A54"/>
    </sheetView>
  </sheetViews>
  <sheetFormatPr defaultColWidth="0" defaultRowHeight="12.75" zeroHeight="1" x14ac:dyDescent="0.2"/>
  <cols>
    <col min="1" max="1" width="20.28515625" customWidth="1"/>
    <col min="2" max="2" width="40.7109375" customWidth="1"/>
    <col min="3" max="3" width="22.140625" customWidth="1"/>
    <col min="4" max="4" width="16.7109375" customWidth="1"/>
    <col min="5" max="5" width="21.7109375" customWidth="1"/>
    <col min="6" max="6" width="19.85546875" customWidth="1"/>
    <col min="7" max="7" width="38" customWidth="1"/>
    <col min="8" max="10" width="9.140625" hidden="1" customWidth="1"/>
    <col min="11" max="15" width="0" hidden="1" customWidth="1"/>
  </cols>
  <sheetData>
    <row r="1" spans="1:7" ht="26.25" customHeight="1" x14ac:dyDescent="0.2">
      <c r="A1" s="730" t="s">
        <v>181</v>
      </c>
      <c r="B1" s="730"/>
      <c r="C1" s="730"/>
      <c r="D1" s="730"/>
      <c r="E1" s="730"/>
      <c r="F1" s="730"/>
    </row>
    <row r="2" spans="1:7" ht="21" customHeight="1" x14ac:dyDescent="0.2">
      <c r="A2" s="2" t="s">
        <v>52</v>
      </c>
      <c r="B2" s="733" t="str">
        <f>'Summary and sign-off'!B2:F2</f>
        <v>Education New Zealand</v>
      </c>
      <c r="C2" s="733"/>
      <c r="D2" s="733"/>
      <c r="E2" s="733"/>
      <c r="F2" s="733"/>
    </row>
    <row r="3" spans="1:7" ht="21" customHeight="1" x14ac:dyDescent="0.2">
      <c r="A3" s="2" t="s">
        <v>54</v>
      </c>
      <c r="B3" s="733" t="str">
        <f>'Summary and sign-off'!B3:F3</f>
        <v>Grant McPherson</v>
      </c>
      <c r="C3" s="733"/>
      <c r="D3" s="733"/>
      <c r="E3" s="733"/>
      <c r="F3" s="733"/>
    </row>
    <row r="4" spans="1:7" ht="21" customHeight="1" x14ac:dyDescent="0.2">
      <c r="A4" s="2" t="s">
        <v>56</v>
      </c>
      <c r="B4" s="733">
        <f>'Summary and sign-off'!B4:F4</f>
        <v>43770</v>
      </c>
      <c r="C4" s="733"/>
      <c r="D4" s="733"/>
      <c r="E4" s="733"/>
      <c r="F4" s="733"/>
    </row>
    <row r="5" spans="1:7" ht="21" customHeight="1" x14ac:dyDescent="0.2">
      <c r="A5" s="2" t="s">
        <v>57</v>
      </c>
      <c r="B5" s="733">
        <f>'Summary and sign-off'!B5:F5</f>
        <v>43921</v>
      </c>
      <c r="C5" s="733"/>
      <c r="D5" s="733"/>
      <c r="E5" s="733"/>
      <c r="F5" s="733"/>
    </row>
    <row r="6" spans="1:7" ht="21" customHeight="1" x14ac:dyDescent="0.2">
      <c r="A6" s="2" t="s">
        <v>182</v>
      </c>
      <c r="B6" s="728" t="s">
        <v>83</v>
      </c>
      <c r="C6" s="728"/>
      <c r="D6" s="728"/>
      <c r="E6" s="728"/>
      <c r="F6" s="728"/>
    </row>
    <row r="7" spans="1:7" ht="21" customHeight="1" x14ac:dyDescent="0.2">
      <c r="A7" s="2" t="s">
        <v>58</v>
      </c>
      <c r="B7" s="728" t="s">
        <v>85</v>
      </c>
      <c r="C7" s="728"/>
      <c r="D7" s="728"/>
      <c r="E7" s="728"/>
      <c r="F7" s="728"/>
    </row>
    <row r="8" spans="1:7" ht="36" customHeight="1" x14ac:dyDescent="0.2">
      <c r="A8" s="737" t="s">
        <v>183</v>
      </c>
      <c r="B8" s="737"/>
      <c r="C8" s="737"/>
      <c r="D8" s="737"/>
      <c r="E8" s="737"/>
      <c r="F8" s="737"/>
    </row>
    <row r="9" spans="1:7" ht="36" customHeight="1" x14ac:dyDescent="0.2">
      <c r="A9" s="745" t="s">
        <v>184</v>
      </c>
      <c r="B9" s="746"/>
      <c r="C9" s="746"/>
      <c r="D9" s="746"/>
      <c r="E9" s="746"/>
      <c r="F9" s="746"/>
    </row>
    <row r="10" spans="1:7" ht="39" customHeight="1" x14ac:dyDescent="0.2">
      <c r="A10" s="14" t="s">
        <v>116</v>
      </c>
      <c r="B10" s="6" t="s">
        <v>185</v>
      </c>
      <c r="C10" s="6" t="s">
        <v>186</v>
      </c>
      <c r="D10" s="6" t="s">
        <v>187</v>
      </c>
      <c r="E10" s="6" t="s">
        <v>188</v>
      </c>
      <c r="F10" s="6" t="s">
        <v>189</v>
      </c>
    </row>
    <row r="11" spans="1:7" s="1" customFormat="1" x14ac:dyDescent="0.2">
      <c r="A11" s="77"/>
      <c r="B11" s="79"/>
      <c r="C11" s="85"/>
      <c r="D11" s="79"/>
      <c r="E11" s="81"/>
      <c r="F11" s="80"/>
    </row>
    <row r="12" spans="1:7" s="1" customFormat="1" x14ac:dyDescent="0.2">
      <c r="A12" s="73"/>
      <c r="B12" s="82"/>
      <c r="C12" s="85"/>
      <c r="D12" s="82"/>
      <c r="E12" s="81"/>
      <c r="F12" s="83"/>
    </row>
    <row r="13" spans="1:7" s="1" customFormat="1" x14ac:dyDescent="0.2">
      <c r="A13" s="77"/>
      <c r="B13" s="82"/>
      <c r="C13" s="85"/>
      <c r="D13" s="82"/>
      <c r="E13" s="81"/>
      <c r="F13" s="83"/>
    </row>
    <row r="14" spans="1:7" s="1" customFormat="1" x14ac:dyDescent="0.2">
      <c r="A14" s="77"/>
      <c r="B14" s="79"/>
      <c r="C14" s="85"/>
      <c r="D14" s="79"/>
      <c r="E14" s="81"/>
      <c r="F14" s="80"/>
    </row>
    <row r="15" spans="1:7" ht="34.5" customHeight="1" x14ac:dyDescent="0.2">
      <c r="A15" s="56" t="s">
        <v>190</v>
      </c>
      <c r="B15" s="57" t="s">
        <v>191</v>
      </c>
      <c r="C15" s="58">
        <f>C16+C17</f>
        <v>0</v>
      </c>
      <c r="D15" s="90" t="str">
        <f>IF(SUBTOTAL(3,C11:C14)=SUBTOTAL(103,C11:C14),'Summary and sign-off'!$A$47,'Summary and sign-off'!$A$48)</f>
        <v>Check - there are no hidden rows with data</v>
      </c>
      <c r="E15" s="747" t="str">
        <f>IF('Summary and sign-off'!F59='Summary and sign-off'!F53,'Summary and sign-off'!A51,'Summary and sign-off'!A49)</f>
        <v>Check - each entry provides sufficient information</v>
      </c>
      <c r="F15" s="747"/>
      <c r="G15" s="1"/>
    </row>
    <row r="16" spans="1:7" ht="25.5" customHeight="1" x14ac:dyDescent="0.25">
      <c r="A16" s="59"/>
      <c r="B16" s="60" t="s">
        <v>98</v>
      </c>
      <c r="C16" s="61">
        <f>COUNTIF(C11:C14,'Summary and sign-off'!A44)</f>
        <v>0</v>
      </c>
      <c r="D16" s="15"/>
      <c r="E16" s="16"/>
      <c r="F16" s="17"/>
    </row>
    <row r="17" spans="1:6" ht="25.5" customHeight="1" x14ac:dyDescent="0.25">
      <c r="A17" s="59"/>
      <c r="B17" s="60" t="s">
        <v>99</v>
      </c>
      <c r="C17" s="61">
        <f>COUNTIF(C11:C14,'Summary and sign-off'!A45)</f>
        <v>0</v>
      </c>
      <c r="D17" s="15"/>
      <c r="E17" s="16"/>
      <c r="F17" s="17"/>
    </row>
    <row r="18" spans="1:6" x14ac:dyDescent="0.2">
      <c r="A18" s="18"/>
      <c r="B18" s="19"/>
      <c r="C18" s="18"/>
      <c r="D18" s="20"/>
      <c r="E18" s="20"/>
      <c r="F18" s="18"/>
    </row>
    <row r="19" spans="1:6" x14ac:dyDescent="0.2">
      <c r="A19" s="19" t="s">
        <v>180</v>
      </c>
      <c r="B19" s="19"/>
      <c r="C19" s="19"/>
      <c r="D19" s="19"/>
      <c r="E19" s="19"/>
      <c r="F19" s="19"/>
    </row>
    <row r="20" spans="1:6" ht="12.6" customHeight="1" x14ac:dyDescent="0.2">
      <c r="A20" s="21" t="s">
        <v>152</v>
      </c>
      <c r="B20" s="18"/>
      <c r="C20" s="18"/>
      <c r="D20" s="18"/>
      <c r="E20" s="18"/>
    </row>
    <row r="21" spans="1:6" x14ac:dyDescent="0.2">
      <c r="A21" s="21" t="s">
        <v>81</v>
      </c>
      <c r="B21" s="20"/>
      <c r="C21" s="18"/>
      <c r="D21" s="18"/>
      <c r="E21" s="18"/>
      <c r="F21" s="18"/>
    </row>
    <row r="22" spans="1:6" x14ac:dyDescent="0.2">
      <c r="A22" s="21" t="s">
        <v>192</v>
      </c>
      <c r="B22" s="22"/>
      <c r="C22" s="22"/>
      <c r="D22" s="22"/>
      <c r="E22" s="22"/>
      <c r="F22" s="22"/>
    </row>
    <row r="23" spans="1:6" ht="12.75" customHeight="1" x14ac:dyDescent="0.2">
      <c r="A23" s="21" t="s">
        <v>193</v>
      </c>
      <c r="B23" s="18"/>
      <c r="C23" s="18"/>
      <c r="D23" s="18"/>
      <c r="E23" s="18"/>
      <c r="F23" s="18"/>
    </row>
    <row r="24" spans="1:6" ht="12.95" customHeight="1" x14ac:dyDescent="0.2">
      <c r="A24" s="21" t="s">
        <v>194</v>
      </c>
      <c r="B24" s="18"/>
      <c r="C24" s="18"/>
      <c r="D24" s="18"/>
      <c r="E24" s="18"/>
      <c r="F24" s="18"/>
    </row>
    <row r="25" spans="1:6" x14ac:dyDescent="0.2">
      <c r="A25" s="21" t="s">
        <v>195</v>
      </c>
      <c r="C25" s="18"/>
      <c r="D25" s="18"/>
      <c r="E25" s="18"/>
      <c r="F25" s="18"/>
    </row>
    <row r="26" spans="1:6" ht="12.75" customHeight="1" x14ac:dyDescent="0.2">
      <c r="A26" s="21" t="s">
        <v>167</v>
      </c>
      <c r="B26" s="21"/>
      <c r="C26" s="23"/>
      <c r="D26" s="23"/>
      <c r="E26" s="23"/>
      <c r="F26" s="23"/>
    </row>
    <row r="27" spans="1:6" ht="12.75" customHeight="1" x14ac:dyDescent="0.2">
      <c r="A27" s="21"/>
      <c r="B27" s="21"/>
      <c r="C27" s="23"/>
      <c r="D27" s="23"/>
      <c r="E27" s="23"/>
      <c r="F27" s="23"/>
    </row>
    <row r="28" spans="1:6" ht="12.75" hidden="1" customHeight="1" x14ac:dyDescent="0.2">
      <c r="A28" s="21"/>
      <c r="B28" s="21"/>
      <c r="C28" s="23"/>
      <c r="D28" s="23"/>
      <c r="E28" s="23"/>
      <c r="F28" s="23"/>
    </row>
    <row r="31" spans="1:6" hidden="1" x14ac:dyDescent="0.2">
      <c r="A31" s="19"/>
      <c r="B31" s="19"/>
      <c r="C31" s="19"/>
      <c r="D31" s="19"/>
      <c r="E31" s="19"/>
      <c r="F31" s="19"/>
    </row>
    <row r="32" spans="1:6" hidden="1" x14ac:dyDescent="0.2">
      <c r="A32" s="19"/>
      <c r="B32" s="19"/>
      <c r="C32" s="19"/>
      <c r="D32" s="19"/>
      <c r="E32" s="19"/>
      <c r="F32" s="19"/>
    </row>
    <row r="33" spans="1:6" hidden="1" x14ac:dyDescent="0.2">
      <c r="A33" s="19"/>
      <c r="B33" s="19"/>
      <c r="C33" s="19"/>
      <c r="D33" s="19"/>
      <c r="E33" s="19"/>
      <c r="F33" s="19"/>
    </row>
    <row r="34" spans="1:6" hidden="1" x14ac:dyDescent="0.2">
      <c r="A34" s="19"/>
      <c r="B34" s="19"/>
      <c r="C34" s="19"/>
      <c r="D34" s="19"/>
      <c r="E34" s="19"/>
      <c r="F34" s="19"/>
    </row>
    <row r="35" spans="1:6" hidden="1" x14ac:dyDescent="0.2">
      <c r="A35" s="19"/>
      <c r="B35" s="19"/>
      <c r="C35" s="19"/>
      <c r="D35" s="19"/>
      <c r="E35" s="19"/>
      <c r="F35" s="19"/>
    </row>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500-000000000000}">
      <formula1>$B$4</formula1>
      <formula2>$B$5</formula2>
    </dataValidation>
  </dataValidations>
  <pageMargins left="0.24" right="0.21" top="0.74803149606299213" bottom="0.74803149606299213" header="0.31496062992125984" footer="0.31496062992125984"/>
  <pageSetup paperSize="9"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C11:C14</xm:sqref>
        </x14:dataValidation>
        <x14:dataValidation type="list" errorStyle="information" operator="greaterThan" allowBlank="1" showInputMessage="1" prompt="Provide specific $ value if possible" xr:uid="{00000000-0002-0000-0500-000003000000}">
          <x14:formula1>
            <xm:f>'Summary and sign-off'!$A$38:$A$43</xm:f>
          </x14:formula1>
          <xm:sqref>E11:E14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5498-9F88-426D-8618-3710141A12AD}">
  <sheetPr>
    <tabColor rgb="FFFFFF00"/>
  </sheetPr>
  <dimension ref="A1:B61"/>
  <sheetViews>
    <sheetView zoomScaleNormal="100" workbookViewId="0">
      <selection activeCell="A17" sqref="A17"/>
    </sheetView>
  </sheetViews>
  <sheetFormatPr defaultColWidth="0" defaultRowHeight="14.25" zeroHeight="1" x14ac:dyDescent="0.2"/>
  <cols>
    <col min="1" max="1" width="219.28515625" style="42" customWidth="1"/>
    <col min="2" max="2" width="33.28515625" style="41" customWidth="1"/>
    <col min="3" max="16384" width="8.7109375" hidden="1"/>
  </cols>
  <sheetData>
    <row r="1" spans="1:2" ht="23.25" customHeight="1" x14ac:dyDescent="0.2">
      <c r="A1" s="40" t="s">
        <v>0</v>
      </c>
    </row>
    <row r="2" spans="1:2" ht="33" customHeight="1" x14ac:dyDescent="0.2">
      <c r="A2" s="422" t="s">
        <v>196</v>
      </c>
    </row>
    <row r="3" spans="1:2" ht="17.25" customHeight="1" x14ac:dyDescent="0.2"/>
    <row r="4" spans="1:2" ht="23.25" customHeight="1" x14ac:dyDescent="0.2">
      <c r="A4" s="423" t="s">
        <v>197</v>
      </c>
    </row>
    <row r="5" spans="1:2" ht="17.25" customHeight="1" x14ac:dyDescent="0.2"/>
    <row r="6" spans="1:2" ht="23.25" customHeight="1" x14ac:dyDescent="0.2">
      <c r="A6" s="43" t="s">
        <v>3</v>
      </c>
    </row>
    <row r="7" spans="1:2" ht="17.25" customHeight="1" x14ac:dyDescent="0.2">
      <c r="A7" s="44" t="s">
        <v>4</v>
      </c>
    </row>
    <row r="8" spans="1:2" ht="17.25" customHeight="1" x14ac:dyDescent="0.2">
      <c r="A8" s="44" t="s">
        <v>5</v>
      </c>
    </row>
    <row r="9" spans="1:2" ht="17.25" customHeight="1" x14ac:dyDescent="0.2">
      <c r="A9" s="44"/>
    </row>
    <row r="10" spans="1:2" ht="23.25" customHeight="1" x14ac:dyDescent="0.2">
      <c r="A10" s="43" t="s">
        <v>6</v>
      </c>
      <c r="B10" s="84" t="s">
        <v>7</v>
      </c>
    </row>
    <row r="11" spans="1:2" ht="17.25" customHeight="1" x14ac:dyDescent="0.2">
      <c r="A11" s="45" t="s">
        <v>8</v>
      </c>
    </row>
    <row r="12" spans="1:2" ht="17.25" customHeight="1" x14ac:dyDescent="0.2">
      <c r="A12" s="44" t="s">
        <v>9</v>
      </c>
    </row>
    <row r="13" spans="1:2" ht="17.25" customHeight="1" x14ac:dyDescent="0.2">
      <c r="A13" s="44" t="s">
        <v>10</v>
      </c>
    </row>
    <row r="14" spans="1:2" ht="17.25" customHeight="1" x14ac:dyDescent="0.2">
      <c r="A14" s="46" t="s">
        <v>11</v>
      </c>
    </row>
    <row r="15" spans="1:2" ht="17.25" customHeight="1" x14ac:dyDescent="0.2">
      <c r="A15" s="44" t="s">
        <v>12</v>
      </c>
    </row>
    <row r="16" spans="1:2" ht="17.25" customHeight="1" x14ac:dyDescent="0.2">
      <c r="A16" s="44"/>
    </row>
    <row r="17" spans="1:1" ht="23.25" customHeight="1" x14ac:dyDescent="0.2">
      <c r="A17" s="43" t="s">
        <v>13</v>
      </c>
    </row>
    <row r="18" spans="1:1" ht="17.25" customHeight="1" x14ac:dyDescent="0.2">
      <c r="A18" s="46" t="s">
        <v>14</v>
      </c>
    </row>
    <row r="19" spans="1:1" ht="17.25" customHeight="1" x14ac:dyDescent="0.2">
      <c r="A19" s="46" t="s">
        <v>15</v>
      </c>
    </row>
    <row r="20" spans="1:1" ht="17.25" customHeight="1" x14ac:dyDescent="0.2">
      <c r="A20" s="424" t="s">
        <v>16</v>
      </c>
    </row>
    <row r="21" spans="1:1" ht="17.25" customHeight="1" x14ac:dyDescent="0.2">
      <c r="A21" s="47"/>
    </row>
    <row r="22" spans="1:1" ht="23.25" customHeight="1" x14ac:dyDescent="0.2">
      <c r="A22" s="43" t="s">
        <v>17</v>
      </c>
    </row>
    <row r="23" spans="1:1" ht="17.25" customHeight="1" x14ac:dyDescent="0.2">
      <c r="A23" s="47" t="s">
        <v>18</v>
      </c>
    </row>
    <row r="24" spans="1:1" ht="17.25" customHeight="1" x14ac:dyDescent="0.2">
      <c r="A24" s="47"/>
    </row>
    <row r="25" spans="1:1" ht="23.25" customHeight="1" x14ac:dyDescent="0.2">
      <c r="A25" s="43" t="s">
        <v>19</v>
      </c>
    </row>
    <row r="26" spans="1:1" ht="17.25" customHeight="1" x14ac:dyDescent="0.2">
      <c r="A26" s="48" t="s">
        <v>20</v>
      </c>
    </row>
    <row r="27" spans="1:1" ht="32.25" customHeight="1" x14ac:dyDescent="0.2">
      <c r="A27" s="46" t="s">
        <v>21</v>
      </c>
    </row>
    <row r="28" spans="1:1" ht="17.25" customHeight="1" x14ac:dyDescent="0.2">
      <c r="A28" s="48" t="s">
        <v>22</v>
      </c>
    </row>
    <row r="29" spans="1:1" ht="32.25" customHeight="1" x14ac:dyDescent="0.2">
      <c r="A29" s="46" t="s">
        <v>23</v>
      </c>
    </row>
    <row r="30" spans="1:1" ht="17.25" customHeight="1" x14ac:dyDescent="0.2">
      <c r="A30" s="48" t="s">
        <v>24</v>
      </c>
    </row>
    <row r="31" spans="1:1" ht="17.25" customHeight="1" x14ac:dyDescent="0.2">
      <c r="A31" s="46" t="s">
        <v>25</v>
      </c>
    </row>
    <row r="32" spans="1:1" ht="17.25" customHeight="1" x14ac:dyDescent="0.2">
      <c r="A32" s="48" t="s">
        <v>26</v>
      </c>
    </row>
    <row r="33" spans="1:1" ht="32.25" customHeight="1" x14ac:dyDescent="0.2">
      <c r="A33" s="46" t="s">
        <v>27</v>
      </c>
    </row>
    <row r="34" spans="1:1" ht="32.25" customHeight="1" x14ac:dyDescent="0.2">
      <c r="A34" s="45" t="s">
        <v>28</v>
      </c>
    </row>
    <row r="35" spans="1:1" ht="17.25" customHeight="1" x14ac:dyDescent="0.2">
      <c r="A35" s="48" t="s">
        <v>29</v>
      </c>
    </row>
    <row r="36" spans="1:1" ht="32.25" customHeight="1" x14ac:dyDescent="0.2">
      <c r="A36" s="46" t="s">
        <v>30</v>
      </c>
    </row>
    <row r="37" spans="1:1" ht="32.25" customHeight="1" x14ac:dyDescent="0.2">
      <c r="A37" s="46" t="s">
        <v>31</v>
      </c>
    </row>
    <row r="38" spans="1:1" ht="32.25" customHeight="1" x14ac:dyDescent="0.2">
      <c r="A38" s="46" t="s">
        <v>32</v>
      </c>
    </row>
    <row r="39" spans="1:1" ht="17.25" customHeight="1" x14ac:dyDescent="0.2">
      <c r="A39" s="45"/>
    </row>
    <row r="40" spans="1:1" ht="22.5" customHeight="1" x14ac:dyDescent="0.2">
      <c r="A40" s="43" t="s">
        <v>33</v>
      </c>
    </row>
    <row r="41" spans="1:1" ht="17.25" customHeight="1" x14ac:dyDescent="0.2">
      <c r="A41" s="425" t="s">
        <v>34</v>
      </c>
    </row>
    <row r="42" spans="1:1" ht="17.25" customHeight="1" x14ac:dyDescent="0.2">
      <c r="A42" s="426" t="s">
        <v>35</v>
      </c>
    </row>
    <row r="43" spans="1:1" ht="17.25" customHeight="1" x14ac:dyDescent="0.2">
      <c r="A43" s="47" t="s">
        <v>36</v>
      </c>
    </row>
    <row r="44" spans="1:1" ht="32.25" customHeight="1" x14ac:dyDescent="0.2">
      <c r="A44" s="47" t="s">
        <v>37</v>
      </c>
    </row>
    <row r="45" spans="1:1" ht="32.25" customHeight="1" x14ac:dyDescent="0.2">
      <c r="A45" s="47" t="s">
        <v>38</v>
      </c>
    </row>
    <row r="46" spans="1:1" ht="17.25" customHeight="1" x14ac:dyDescent="0.2">
      <c r="A46" s="50" t="s">
        <v>39</v>
      </c>
    </row>
    <row r="47" spans="1:1" ht="32.25" customHeight="1" x14ac:dyDescent="0.2">
      <c r="A47" s="46" t="s">
        <v>40</v>
      </c>
    </row>
    <row r="48" spans="1:1" ht="32.25" customHeight="1" x14ac:dyDescent="0.2">
      <c r="A48" s="46" t="s">
        <v>41</v>
      </c>
    </row>
    <row r="49" spans="1:1" ht="32.25" customHeight="1" x14ac:dyDescent="0.2">
      <c r="A49" s="47" t="s">
        <v>42</v>
      </c>
    </row>
    <row r="50" spans="1:1" ht="17.25" customHeight="1" x14ac:dyDescent="0.2">
      <c r="A50" s="47" t="s">
        <v>43</v>
      </c>
    </row>
    <row r="51" spans="1:1" ht="17.25" customHeight="1" x14ac:dyDescent="0.2">
      <c r="A51" s="47" t="s">
        <v>44</v>
      </c>
    </row>
    <row r="52" spans="1:1" ht="17.25" customHeight="1" x14ac:dyDescent="0.2">
      <c r="A52" s="47"/>
    </row>
    <row r="53" spans="1:1" ht="22.5" customHeight="1" x14ac:dyDescent="0.2">
      <c r="A53" s="43" t="s">
        <v>45</v>
      </c>
    </row>
    <row r="54" spans="1:1" ht="32.25" customHeight="1" x14ac:dyDescent="0.2">
      <c r="A54" s="427" t="s">
        <v>198</v>
      </c>
    </row>
    <row r="55" spans="1:1" ht="17.25" customHeight="1" x14ac:dyDescent="0.2">
      <c r="A55" s="428" t="s">
        <v>47</v>
      </c>
    </row>
    <row r="56" spans="1:1" ht="17.25" customHeight="1" x14ac:dyDescent="0.2">
      <c r="A56" s="425" t="s">
        <v>48</v>
      </c>
    </row>
    <row r="57" spans="1:1" ht="17.25" customHeight="1" x14ac:dyDescent="0.2">
      <c r="A57" s="424" t="s">
        <v>49</v>
      </c>
    </row>
    <row r="58" spans="1:1" ht="17.25" customHeight="1" x14ac:dyDescent="0.2">
      <c r="A58" s="429" t="s">
        <v>50</v>
      </c>
    </row>
    <row r="59" spans="1:1" x14ac:dyDescent="0.2"/>
    <row r="61" spans="1:1" hidden="1" x14ac:dyDescent="0.2">
      <c r="A61" s="54"/>
    </row>
  </sheetData>
  <hyperlinks>
    <hyperlink ref="A20" r:id="rId1" xr:uid="{B4B3FC0C-01A8-4364-B0DF-9718E5267108}"/>
    <hyperlink ref="A41" r:id="rId2" xr:uid="{0ACF8520-C5A9-4CF9-8777-A458D9FCF355}"/>
    <hyperlink ref="A55" r:id="rId3" xr:uid="{B5E020B7-BD87-4DE4-BD87-C40DC76195D9}"/>
    <hyperlink ref="A56" r:id="rId4" display="mailto:info@data.govt.nz" xr:uid="{76E70DF6-ADB4-4CF1-B434-E3D2CBA0FEC7}"/>
    <hyperlink ref="A58" r:id="rId5" display="http://www.ssc.govt.nz/ce-expenses-disclosure" xr:uid="{54D2A6B6-06C5-4A37-8766-3209E31605FD}"/>
    <hyperlink ref="A57" r:id="rId6" display="They are posted on agency websites and linked to www.data.govt.nz. See: https://www.data.govt.nz/toolkit/how-do-i-add-or-update-our-chief-executive-expenses/" xr:uid="{685DB00C-6AD2-4C3B-BBD2-0F8D0F324401}"/>
    <hyperlink ref="A54" r:id="rId7" display="http://www.ssc.govt.nz/assets/Legacy/resources/Chief-Executive-Expense-Disclosure-Guide.pdf" xr:uid="{00734D98-40AB-4F4F-B877-FFFE9EDE0ECB}"/>
    <hyperlink ref="A2" r:id="rId8" display="http://www.ssc.govt.nz/assets/Legacy/resources/Chief-Executive-Expense-Disclosure-Guide.pdf" xr:uid="{C2A33BF7-4B32-416B-A678-63B3943650E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7FE7-8FCF-4BB2-BEB9-63CBA9378AAF}">
  <sheetPr>
    <tabColor theme="3" tint="0.39997558519241921"/>
    <pageSetUpPr fitToPage="1"/>
  </sheetPr>
  <dimension ref="A1:K60"/>
  <sheetViews>
    <sheetView tabSelected="1" zoomScaleNormal="100" workbookViewId="0">
      <selection activeCell="G5" sqref="G5"/>
    </sheetView>
  </sheetViews>
  <sheetFormatPr defaultColWidth="0" defaultRowHeight="12.75" x14ac:dyDescent="0.2"/>
  <cols>
    <col min="1" max="1" width="28.85546875" customWidth="1"/>
    <col min="2" max="2" width="23.28515625" customWidth="1"/>
    <col min="3" max="3" width="24.85546875" customWidth="1"/>
    <col min="4" max="4" width="7" customWidth="1"/>
    <col min="5" max="5" width="21.28515625" customWidth="1"/>
    <col min="6" max="6" width="21.7109375" customWidth="1"/>
    <col min="7" max="7" width="42" customWidth="1"/>
    <col min="8" max="11" width="9.140625" hidden="1" customWidth="1"/>
    <col min="12" max="16384" width="9.140625" hidden="1"/>
  </cols>
  <sheetData>
    <row r="1" spans="1:11" ht="26.25" customHeight="1" x14ac:dyDescent="0.2">
      <c r="A1" s="754" t="s">
        <v>2273</v>
      </c>
      <c r="B1" s="755"/>
      <c r="C1" s="755"/>
      <c r="D1" s="755"/>
      <c r="E1" s="755"/>
      <c r="F1" s="756"/>
      <c r="G1" s="18"/>
      <c r="H1" s="18"/>
      <c r="I1" s="18"/>
      <c r="J1" s="18"/>
      <c r="K1" s="18"/>
    </row>
    <row r="2" spans="1:11" ht="21" customHeight="1" x14ac:dyDescent="0.2">
      <c r="A2" s="674" t="s">
        <v>52</v>
      </c>
      <c r="B2" s="757" t="s">
        <v>53</v>
      </c>
      <c r="C2" s="757"/>
      <c r="D2" s="757"/>
      <c r="E2" s="757"/>
      <c r="F2" s="758"/>
      <c r="G2" s="18"/>
      <c r="H2" s="18"/>
      <c r="I2" s="18"/>
      <c r="J2" s="18"/>
      <c r="K2" s="18"/>
    </row>
    <row r="3" spans="1:11" ht="21" customHeight="1" x14ac:dyDescent="0.2">
      <c r="A3" s="674" t="s">
        <v>199</v>
      </c>
      <c r="B3" s="757" t="s">
        <v>200</v>
      </c>
      <c r="C3" s="757"/>
      <c r="D3" s="757"/>
      <c r="E3" s="757"/>
      <c r="F3" s="758"/>
      <c r="G3" s="18"/>
      <c r="H3" s="18"/>
      <c r="I3" s="18"/>
      <c r="J3" s="18"/>
      <c r="K3" s="18"/>
    </row>
    <row r="4" spans="1:11" ht="21" customHeight="1" x14ac:dyDescent="0.2">
      <c r="A4" s="674" t="s">
        <v>56</v>
      </c>
      <c r="B4" s="759">
        <v>45474</v>
      </c>
      <c r="C4" s="759"/>
      <c r="D4" s="759"/>
      <c r="E4" s="759"/>
      <c r="F4" s="760"/>
      <c r="G4" s="18"/>
      <c r="H4" s="18"/>
      <c r="I4" s="18"/>
      <c r="J4" s="18"/>
      <c r="K4" s="18"/>
    </row>
    <row r="5" spans="1:11" ht="21" customHeight="1" x14ac:dyDescent="0.2">
      <c r="A5" s="674" t="s">
        <v>57</v>
      </c>
      <c r="B5" s="759">
        <v>45562</v>
      </c>
      <c r="C5" s="759"/>
      <c r="D5" s="759"/>
      <c r="E5" s="759"/>
      <c r="F5" s="760"/>
      <c r="G5" s="18"/>
      <c r="H5" s="18"/>
      <c r="I5" s="18"/>
      <c r="J5" s="18"/>
      <c r="K5" s="18"/>
    </row>
    <row r="6" spans="1:11" ht="21" customHeight="1" x14ac:dyDescent="0.2">
      <c r="A6" s="674" t="s">
        <v>58</v>
      </c>
      <c r="B6" s="761" t="str">
        <f>IF(AND(Travels!B7&lt;&gt;A30,'Hospitality '!B7&lt;&gt;A30,'All other expenses '!B7&lt;&gt;A30,'Gifts and benefits '!B7&lt;&gt;A30),A31,IF(AND(Travels!B7=A30,'Hospitality '!B7=A30,'All other expenses '!B7=A30,'Gifts and benefits '!B7=A30),A33,A32))</f>
        <v>Data and totals checked on all sheets</v>
      </c>
      <c r="C6" s="761"/>
      <c r="D6" s="761"/>
      <c r="E6" s="761"/>
      <c r="F6" s="762"/>
      <c r="G6" s="24"/>
      <c r="H6" s="18"/>
      <c r="I6" s="18"/>
      <c r="J6" s="18"/>
      <c r="K6" s="18"/>
    </row>
    <row r="7" spans="1:11" ht="21" customHeight="1" x14ac:dyDescent="0.2">
      <c r="A7" s="674" t="s">
        <v>59</v>
      </c>
      <c r="B7" s="748" t="s">
        <v>60</v>
      </c>
      <c r="C7" s="748"/>
      <c r="D7" s="748"/>
      <c r="E7" s="748"/>
      <c r="F7" s="749"/>
      <c r="G7" s="24"/>
      <c r="H7" s="18"/>
      <c r="I7" s="18"/>
      <c r="J7" s="18"/>
      <c r="K7" s="18"/>
    </row>
    <row r="8" spans="1:11" ht="21" customHeight="1" thickBot="1" x14ac:dyDescent="0.25">
      <c r="A8" s="675" t="s">
        <v>201</v>
      </c>
      <c r="B8" s="750" t="s">
        <v>2296</v>
      </c>
      <c r="C8" s="750"/>
      <c r="D8" s="750"/>
      <c r="E8" s="750"/>
      <c r="F8" s="751"/>
      <c r="G8" s="24"/>
      <c r="H8" s="18"/>
      <c r="I8" s="18"/>
      <c r="J8" s="18"/>
      <c r="K8" s="18"/>
    </row>
    <row r="9" spans="1:11" ht="27" customHeight="1" thickTop="1" x14ac:dyDescent="0.2">
      <c r="A9" s="752" t="s">
        <v>202</v>
      </c>
      <c r="B9" s="727"/>
      <c r="C9" s="727"/>
      <c r="D9" s="727"/>
      <c r="E9" s="727"/>
      <c r="F9" s="753"/>
      <c r="G9" s="24"/>
      <c r="H9" s="18"/>
      <c r="I9" s="18"/>
      <c r="J9" s="18"/>
      <c r="K9" s="18"/>
    </row>
    <row r="10" spans="1:11" s="111" customFormat="1" ht="36" customHeight="1" x14ac:dyDescent="0.2">
      <c r="A10" s="676" t="s">
        <v>63</v>
      </c>
      <c r="B10" s="430" t="s">
        <v>64</v>
      </c>
      <c r="C10" s="430" t="s">
        <v>65</v>
      </c>
      <c r="D10" s="431"/>
      <c r="E10" s="108" t="s">
        <v>29</v>
      </c>
      <c r="F10" s="677" t="s">
        <v>66</v>
      </c>
      <c r="G10" s="110"/>
      <c r="H10" s="110"/>
      <c r="I10" s="110"/>
      <c r="J10" s="110"/>
      <c r="K10" s="110"/>
    </row>
    <row r="11" spans="1:11" ht="27.75" customHeight="1" x14ac:dyDescent="0.2">
      <c r="A11" s="678" t="s">
        <v>67</v>
      </c>
      <c r="B11" s="432">
        <f>B15+B16+B17</f>
        <v>123.05000000000001</v>
      </c>
      <c r="C11" s="433" t="str">
        <f>IF(Travels!B6="",A34,Travels!B6)</f>
        <v>Figures exclude GST</v>
      </c>
      <c r="D11" s="5"/>
      <c r="E11" s="8" t="s">
        <v>68</v>
      </c>
      <c r="F11" s="679">
        <f>'Gifts and benefits '!C16</f>
        <v>1</v>
      </c>
      <c r="G11" s="30"/>
      <c r="H11" s="30"/>
      <c r="I11" s="30"/>
      <c r="J11" s="30"/>
      <c r="K11" s="30"/>
    </row>
    <row r="12" spans="1:11" ht="27.75" customHeight="1" x14ac:dyDescent="0.2">
      <c r="A12" s="678" t="s">
        <v>24</v>
      </c>
      <c r="B12" s="432">
        <f>'Hospitality '!B21</f>
        <v>44.730000000000004</v>
      </c>
      <c r="C12" s="433" t="str">
        <f>IF('Hospitality '!B6="",A34,'Hospitality '!B6)</f>
        <v>Figures exclude GST</v>
      </c>
      <c r="D12" s="5"/>
      <c r="E12" s="8" t="s">
        <v>69</v>
      </c>
      <c r="F12" s="679">
        <f>'Gifts and benefits '!C17</f>
        <v>1</v>
      </c>
      <c r="G12" s="30"/>
      <c r="H12" s="30"/>
      <c r="I12" s="30"/>
      <c r="J12" s="30"/>
      <c r="K12" s="30"/>
    </row>
    <row r="13" spans="1:11" ht="27.75" customHeight="1" x14ac:dyDescent="0.2">
      <c r="A13" s="678" t="s">
        <v>70</v>
      </c>
      <c r="B13" s="432">
        <f>'All other expenses '!B18</f>
        <v>0</v>
      </c>
      <c r="C13" s="433" t="str">
        <f>IF('All other expenses '!B6="",A34,'All other expenses '!B6)</f>
        <v>Figures exclude GST</v>
      </c>
      <c r="D13" s="5"/>
      <c r="E13" s="8" t="s">
        <v>71</v>
      </c>
      <c r="F13" s="679">
        <f>'Gifts and benefits '!C18</f>
        <v>0</v>
      </c>
      <c r="G13" s="18"/>
      <c r="H13" s="18"/>
      <c r="I13" s="18"/>
      <c r="J13" s="18"/>
      <c r="K13" s="18"/>
    </row>
    <row r="14" spans="1:11" ht="12.75" customHeight="1" x14ac:dyDescent="0.2">
      <c r="A14" s="680"/>
      <c r="B14" s="434"/>
      <c r="C14" s="435"/>
      <c r="D14" s="35"/>
      <c r="E14" s="5"/>
      <c r="F14" s="681"/>
      <c r="G14" s="18"/>
      <c r="H14" s="18"/>
      <c r="I14" s="18"/>
      <c r="J14" s="18"/>
      <c r="K14" s="18"/>
    </row>
    <row r="15" spans="1:11" ht="27.75" customHeight="1" x14ac:dyDescent="0.2">
      <c r="A15" s="682" t="s">
        <v>72</v>
      </c>
      <c r="B15" s="436">
        <f>Travels!B45</f>
        <v>0</v>
      </c>
      <c r="C15" s="437" t="str">
        <f>C11</f>
        <v>Figures exclude GST</v>
      </c>
      <c r="D15" s="5"/>
      <c r="E15" s="5"/>
      <c r="F15" s="681"/>
      <c r="G15" s="18"/>
      <c r="H15" s="18"/>
      <c r="I15" s="18"/>
      <c r="J15" s="18"/>
      <c r="K15" s="18"/>
    </row>
    <row r="16" spans="1:11" ht="27.75" customHeight="1" x14ac:dyDescent="0.2">
      <c r="A16" s="682" t="s">
        <v>73</v>
      </c>
      <c r="B16" s="436">
        <f>Travels!B83</f>
        <v>17.75</v>
      </c>
      <c r="C16" s="437" t="str">
        <f>C11</f>
        <v>Figures exclude GST</v>
      </c>
      <c r="D16" s="438"/>
      <c r="E16" s="5"/>
      <c r="F16" s="683"/>
      <c r="G16" s="18"/>
      <c r="H16" s="18"/>
      <c r="I16" s="18"/>
      <c r="J16" s="18"/>
      <c r="K16" s="18"/>
    </row>
    <row r="17" spans="1:11" ht="27.75" customHeight="1" x14ac:dyDescent="0.2">
      <c r="A17" s="684" t="s">
        <v>74</v>
      </c>
      <c r="B17" s="685">
        <f>Travels!B94</f>
        <v>105.30000000000001</v>
      </c>
      <c r="C17" s="686" t="str">
        <f>C11</f>
        <v>Figures exclude GST</v>
      </c>
      <c r="D17" s="687"/>
      <c r="E17" s="687"/>
      <c r="F17" s="688"/>
      <c r="G17" s="18"/>
      <c r="H17" s="18"/>
      <c r="I17" s="18"/>
      <c r="J17" s="18"/>
      <c r="K17" s="18"/>
    </row>
    <row r="18" spans="1:11" ht="27.75" customHeight="1" x14ac:dyDescent="0.2">
      <c r="A18" s="18"/>
      <c r="B18" s="20"/>
      <c r="C18" s="18"/>
      <c r="D18" s="4"/>
      <c r="E18" s="4"/>
      <c r="F18" s="29"/>
      <c r="G18" s="18"/>
      <c r="H18" s="18"/>
      <c r="I18" s="18"/>
      <c r="J18" s="18"/>
      <c r="K18" s="18"/>
    </row>
    <row r="19" spans="1:11" x14ac:dyDescent="0.2">
      <c r="A19" s="19" t="s">
        <v>75</v>
      </c>
      <c r="B19" s="20"/>
      <c r="C19" s="18"/>
      <c r="D19" s="18"/>
      <c r="E19" s="18"/>
      <c r="F19" s="18"/>
      <c r="G19" s="18"/>
      <c r="H19" s="18"/>
      <c r="I19" s="18"/>
      <c r="J19" s="18"/>
      <c r="K19" s="18"/>
    </row>
    <row r="20" spans="1:11" x14ac:dyDescent="0.2">
      <c r="A20" s="21" t="s">
        <v>76</v>
      </c>
      <c r="D20" s="18"/>
      <c r="E20" s="18"/>
      <c r="F20" s="18"/>
      <c r="G20" s="18"/>
      <c r="H20" s="18"/>
      <c r="I20" s="18"/>
      <c r="J20" s="18"/>
      <c r="K20" s="18"/>
    </row>
    <row r="21" spans="1:11" ht="12.6" customHeight="1" x14ac:dyDescent="0.2">
      <c r="A21" s="21" t="s">
        <v>77</v>
      </c>
      <c r="D21" s="18"/>
      <c r="E21" s="18"/>
      <c r="F21" s="18"/>
      <c r="G21" s="18"/>
      <c r="H21" s="18"/>
      <c r="I21" s="18"/>
      <c r="J21" s="18"/>
      <c r="K21" s="18"/>
    </row>
    <row r="22" spans="1:11" ht="12.6" customHeight="1" x14ac:dyDescent="0.2">
      <c r="A22" s="21" t="s">
        <v>78</v>
      </c>
      <c r="D22" s="18"/>
      <c r="E22" s="18"/>
      <c r="F22" s="18"/>
      <c r="G22" s="18"/>
      <c r="H22" s="18"/>
      <c r="I22" s="18"/>
      <c r="J22" s="18"/>
      <c r="K22" s="18"/>
    </row>
    <row r="23" spans="1:11" ht="12.6" customHeight="1" x14ac:dyDescent="0.2">
      <c r="A23" s="21" t="s">
        <v>79</v>
      </c>
      <c r="D23" s="18"/>
      <c r="E23" s="18"/>
      <c r="F23" s="18"/>
      <c r="G23" s="18"/>
      <c r="H23" s="18"/>
      <c r="I23" s="18"/>
      <c r="J23" s="18"/>
      <c r="K23" s="18"/>
    </row>
    <row r="24" spans="1:11" x14ac:dyDescent="0.2">
      <c r="A24" s="27"/>
      <c r="B24" s="18"/>
      <c r="C24" s="18"/>
      <c r="D24" s="18"/>
      <c r="E24" s="18"/>
      <c r="F24" s="18"/>
      <c r="G24" s="18"/>
      <c r="H24" s="18"/>
      <c r="I24" s="18"/>
      <c r="J24" s="18"/>
      <c r="K24" s="18"/>
    </row>
    <row r="25" spans="1:11" x14ac:dyDescent="0.2">
      <c r="A25" s="12" t="s">
        <v>80</v>
      </c>
      <c r="B25" s="13"/>
      <c r="C25" s="13"/>
      <c r="D25" s="13"/>
      <c r="E25" s="13"/>
      <c r="F25" s="13"/>
      <c r="G25" s="18"/>
      <c r="H25" s="18"/>
      <c r="I25" s="18"/>
      <c r="J25" s="18"/>
      <c r="K25" s="18"/>
    </row>
    <row r="26" spans="1:11" ht="12.75" customHeight="1" x14ac:dyDescent="0.2">
      <c r="A26" s="11" t="s">
        <v>81</v>
      </c>
      <c r="B26" s="3"/>
      <c r="C26" s="3"/>
      <c r="D26" s="11"/>
      <c r="E26" s="11"/>
      <c r="F26" s="11"/>
      <c r="G26" s="18"/>
      <c r="H26" s="18"/>
      <c r="I26" s="18"/>
      <c r="J26" s="18"/>
      <c r="K26" s="18"/>
    </row>
    <row r="27" spans="1:11" x14ac:dyDescent="0.2">
      <c r="A27" s="10" t="s">
        <v>82</v>
      </c>
      <c r="B27" s="10"/>
      <c r="C27" s="10"/>
      <c r="D27" s="10"/>
      <c r="E27" s="10"/>
      <c r="F27" s="10"/>
      <c r="G27" s="18"/>
      <c r="H27" s="18"/>
      <c r="I27" s="18"/>
      <c r="J27" s="18"/>
      <c r="K27" s="18"/>
    </row>
    <row r="28" spans="1:11" x14ac:dyDescent="0.2">
      <c r="A28" s="10" t="s">
        <v>83</v>
      </c>
      <c r="B28" s="10"/>
      <c r="C28" s="10"/>
      <c r="D28" s="10"/>
      <c r="E28" s="10"/>
      <c r="F28" s="10"/>
      <c r="G28" s="18"/>
      <c r="H28" s="18"/>
      <c r="I28" s="18"/>
      <c r="J28" s="18"/>
      <c r="K28" s="18"/>
    </row>
    <row r="29" spans="1:11" x14ac:dyDescent="0.2">
      <c r="A29" s="11" t="s">
        <v>84</v>
      </c>
      <c r="B29" s="11"/>
      <c r="C29" s="11"/>
      <c r="D29" s="11"/>
      <c r="E29" s="11"/>
      <c r="F29" s="11"/>
      <c r="G29" s="18"/>
      <c r="H29" s="18"/>
      <c r="I29" s="18"/>
      <c r="J29" s="18"/>
      <c r="K29" s="18"/>
    </row>
    <row r="30" spans="1:11" x14ac:dyDescent="0.2">
      <c r="A30" s="11" t="s">
        <v>85</v>
      </c>
      <c r="B30" s="11"/>
      <c r="C30" s="11"/>
      <c r="D30" s="11"/>
      <c r="E30" s="11"/>
      <c r="F30" s="11"/>
      <c r="G30" s="18"/>
      <c r="H30" s="18"/>
      <c r="I30" s="18"/>
      <c r="J30" s="18"/>
      <c r="K30" s="18"/>
    </row>
    <row r="31" spans="1:11" x14ac:dyDescent="0.2">
      <c r="A31" s="10" t="s">
        <v>86</v>
      </c>
      <c r="B31" s="10"/>
      <c r="C31" s="10"/>
      <c r="D31" s="10"/>
      <c r="E31" s="10"/>
      <c r="F31" s="10"/>
      <c r="G31" s="18"/>
      <c r="H31" s="18"/>
      <c r="I31" s="18"/>
      <c r="J31" s="18"/>
      <c r="K31" s="18"/>
    </row>
    <row r="32" spans="1:11" x14ac:dyDescent="0.2">
      <c r="A32" s="10" t="s">
        <v>87</v>
      </c>
      <c r="B32" s="10"/>
      <c r="C32" s="10"/>
      <c r="D32" s="10"/>
      <c r="E32" s="10"/>
      <c r="F32" s="10"/>
      <c r="G32" s="18"/>
      <c r="H32" s="18"/>
      <c r="I32" s="18"/>
      <c r="J32" s="18"/>
      <c r="K32" s="18"/>
    </row>
    <row r="33" spans="1:11" x14ac:dyDescent="0.2">
      <c r="A33" s="10" t="s">
        <v>88</v>
      </c>
      <c r="B33" s="10"/>
      <c r="C33" s="10"/>
      <c r="D33" s="10"/>
      <c r="E33" s="10"/>
      <c r="F33" s="10"/>
      <c r="G33" s="18"/>
      <c r="H33" s="18"/>
      <c r="I33" s="18"/>
      <c r="J33" s="18"/>
      <c r="K33" s="18"/>
    </row>
    <row r="34" spans="1:11" x14ac:dyDescent="0.2">
      <c r="A34" s="11" t="s">
        <v>89</v>
      </c>
      <c r="B34" s="11"/>
      <c r="C34" s="11"/>
      <c r="D34" s="11"/>
      <c r="E34" s="11"/>
      <c r="F34" s="11"/>
      <c r="G34" s="18"/>
      <c r="H34" s="18"/>
      <c r="I34" s="18"/>
      <c r="J34" s="18"/>
      <c r="K34" s="18"/>
    </row>
    <row r="35" spans="1:11" x14ac:dyDescent="0.2">
      <c r="A35" s="11" t="s">
        <v>90</v>
      </c>
      <c r="B35" s="11"/>
      <c r="C35" s="11"/>
      <c r="D35" s="11"/>
      <c r="E35" s="11"/>
      <c r="F35" s="11"/>
      <c r="G35" s="18"/>
      <c r="H35" s="18"/>
      <c r="I35" s="18"/>
      <c r="J35" s="18"/>
      <c r="K35" s="18"/>
    </row>
    <row r="36" spans="1:11" x14ac:dyDescent="0.2">
      <c r="A36" s="10" t="s">
        <v>91</v>
      </c>
      <c r="B36" s="68"/>
      <c r="C36" s="68"/>
      <c r="D36" s="68"/>
      <c r="E36" s="68"/>
      <c r="F36" s="68"/>
      <c r="G36" s="18"/>
      <c r="H36" s="18"/>
      <c r="I36" s="18"/>
      <c r="J36" s="18"/>
      <c r="K36" s="18"/>
    </row>
    <row r="37" spans="1:11" x14ac:dyDescent="0.2">
      <c r="A37" s="10" t="s">
        <v>60</v>
      </c>
      <c r="B37" s="68"/>
      <c r="C37" s="68"/>
      <c r="D37" s="68"/>
      <c r="E37" s="68"/>
      <c r="F37" s="68"/>
      <c r="G37" s="18"/>
      <c r="H37" s="18"/>
      <c r="I37" s="18"/>
      <c r="J37" s="18"/>
      <c r="K37" s="18"/>
    </row>
    <row r="38" spans="1:11" x14ac:dyDescent="0.2">
      <c r="A38" s="10" t="s">
        <v>203</v>
      </c>
      <c r="B38" s="68"/>
      <c r="C38" s="68"/>
      <c r="D38" s="68"/>
      <c r="E38" s="68"/>
      <c r="F38" s="68"/>
      <c r="G38" s="18"/>
      <c r="H38" s="18"/>
      <c r="I38" s="18"/>
      <c r="J38" s="18"/>
      <c r="K38" s="18"/>
    </row>
    <row r="39" spans="1:11" x14ac:dyDescent="0.2">
      <c r="A39" s="11" t="s">
        <v>92</v>
      </c>
      <c r="B39" s="3"/>
      <c r="C39" s="3"/>
      <c r="D39" s="3"/>
      <c r="E39" s="3"/>
      <c r="F39" s="3"/>
      <c r="G39" s="18"/>
      <c r="H39" s="18"/>
      <c r="I39" s="18"/>
      <c r="J39" s="18"/>
      <c r="K39" s="18"/>
    </row>
    <row r="40" spans="1:11" x14ac:dyDescent="0.2">
      <c r="A40" s="3" t="s">
        <v>93</v>
      </c>
      <c r="B40" s="3"/>
      <c r="C40" s="3"/>
      <c r="D40" s="3"/>
      <c r="E40" s="3"/>
      <c r="F40" s="3"/>
      <c r="G40" s="18"/>
      <c r="H40" s="18"/>
      <c r="I40" s="18"/>
      <c r="J40" s="18"/>
      <c r="K40" s="18"/>
    </row>
    <row r="41" spans="1:11" x14ac:dyDescent="0.2">
      <c r="A41" s="3" t="s">
        <v>94</v>
      </c>
      <c r="B41" s="3"/>
      <c r="C41" s="3"/>
      <c r="D41" s="3"/>
      <c r="E41" s="3"/>
      <c r="F41" s="3"/>
      <c r="G41" s="18"/>
      <c r="H41" s="18"/>
      <c r="I41" s="18"/>
      <c r="J41" s="18"/>
      <c r="K41" s="18"/>
    </row>
    <row r="42" spans="1:11" x14ac:dyDescent="0.2">
      <c r="A42" s="3" t="s">
        <v>95</v>
      </c>
      <c r="B42" s="3"/>
      <c r="C42" s="3"/>
      <c r="D42" s="3"/>
      <c r="E42" s="3"/>
      <c r="F42" s="3"/>
      <c r="G42" s="18"/>
      <c r="H42" s="18"/>
      <c r="I42" s="18"/>
      <c r="J42" s="18"/>
      <c r="K42" s="18"/>
    </row>
    <row r="43" spans="1:11" x14ac:dyDescent="0.2">
      <c r="A43" s="3" t="s">
        <v>96</v>
      </c>
      <c r="B43" s="3"/>
      <c r="C43" s="3"/>
      <c r="D43" s="3"/>
      <c r="E43" s="3"/>
      <c r="F43" s="3"/>
      <c r="G43" s="18"/>
      <c r="H43" s="18"/>
      <c r="I43" s="18"/>
      <c r="J43" s="18"/>
      <c r="K43" s="18"/>
    </row>
    <row r="44" spans="1:11" x14ac:dyDescent="0.2">
      <c r="A44" s="3" t="s">
        <v>97</v>
      </c>
      <c r="B44" s="3"/>
      <c r="C44" s="3"/>
      <c r="D44" s="3"/>
      <c r="E44" s="3"/>
      <c r="F44" s="3"/>
      <c r="G44" s="18"/>
      <c r="H44" s="18"/>
      <c r="I44" s="18"/>
      <c r="J44" s="18"/>
      <c r="K44" s="18"/>
    </row>
    <row r="45" spans="1:11" x14ac:dyDescent="0.2">
      <c r="A45" s="69" t="s">
        <v>98</v>
      </c>
      <c r="B45" s="68"/>
      <c r="C45" s="68"/>
      <c r="D45" s="68"/>
      <c r="E45" s="68"/>
      <c r="F45" s="68"/>
      <c r="G45" s="18"/>
      <c r="H45" s="18"/>
      <c r="I45" s="18"/>
      <c r="J45" s="18"/>
      <c r="K45" s="18"/>
    </row>
    <row r="46" spans="1:11" x14ac:dyDescent="0.2">
      <c r="A46" s="68" t="s">
        <v>99</v>
      </c>
      <c r="B46" s="68"/>
      <c r="C46" s="68"/>
      <c r="D46" s="68"/>
      <c r="E46" s="68"/>
      <c r="F46" s="68"/>
      <c r="G46" s="18"/>
      <c r="H46" s="18"/>
      <c r="I46" s="18"/>
      <c r="J46" s="18"/>
      <c r="K46" s="18"/>
    </row>
    <row r="47" spans="1:11" x14ac:dyDescent="0.2">
      <c r="A47" s="39">
        <v>-20000</v>
      </c>
      <c r="B47" s="3"/>
      <c r="C47" s="3"/>
      <c r="D47" s="3"/>
      <c r="E47" s="3"/>
      <c r="F47" s="3"/>
      <c r="G47" s="18"/>
      <c r="H47" s="18"/>
      <c r="I47" s="18"/>
      <c r="J47" s="18"/>
      <c r="K47" s="18"/>
    </row>
    <row r="48" spans="1:11" ht="25.5" x14ac:dyDescent="0.2">
      <c r="A48" s="99" t="s">
        <v>100</v>
      </c>
      <c r="B48" s="68"/>
      <c r="C48" s="68"/>
      <c r="D48" s="68"/>
      <c r="E48" s="68"/>
      <c r="F48" s="68"/>
      <c r="G48" s="18"/>
      <c r="H48" s="18"/>
      <c r="I48" s="18"/>
      <c r="J48" s="18"/>
      <c r="K48" s="18"/>
    </row>
    <row r="49" spans="1:11" ht="25.5" x14ac:dyDescent="0.2">
      <c r="A49" s="99" t="s">
        <v>101</v>
      </c>
      <c r="B49" s="68"/>
      <c r="C49" s="68"/>
      <c r="D49" s="68"/>
      <c r="E49" s="68"/>
      <c r="F49" s="68"/>
      <c r="G49" s="18"/>
      <c r="H49" s="18"/>
      <c r="I49" s="18"/>
      <c r="J49" s="18"/>
      <c r="K49" s="18"/>
    </row>
    <row r="50" spans="1:11" ht="25.5" x14ac:dyDescent="0.2">
      <c r="A50" s="100" t="s">
        <v>102</v>
      </c>
      <c r="B50" s="3"/>
      <c r="C50" s="3"/>
      <c r="D50" s="3"/>
      <c r="E50" s="3"/>
      <c r="F50" s="3"/>
      <c r="G50" s="18"/>
      <c r="H50" s="18"/>
      <c r="I50" s="18"/>
      <c r="J50" s="18"/>
      <c r="K50" s="18"/>
    </row>
    <row r="51" spans="1:11" ht="38.25" x14ac:dyDescent="0.2">
      <c r="A51" s="100" t="s">
        <v>103</v>
      </c>
      <c r="B51" s="3"/>
      <c r="C51" s="3"/>
      <c r="D51" s="3"/>
      <c r="E51" s="3"/>
      <c r="F51" s="3"/>
      <c r="G51" s="18"/>
      <c r="H51" s="18"/>
      <c r="I51" s="18"/>
      <c r="J51" s="18"/>
      <c r="K51" s="18"/>
    </row>
    <row r="52" spans="1:11" ht="51" x14ac:dyDescent="0.2">
      <c r="A52" s="100" t="s">
        <v>104</v>
      </c>
      <c r="B52" s="92"/>
      <c r="C52" s="92"/>
      <c r="D52" s="92"/>
      <c r="E52" s="11"/>
      <c r="F52" s="11"/>
      <c r="G52" s="18"/>
      <c r="H52" s="18"/>
      <c r="I52" s="18"/>
      <c r="J52" s="18"/>
      <c r="K52" s="18"/>
    </row>
    <row r="53" spans="1:11" x14ac:dyDescent="0.2">
      <c r="A53" s="97" t="s">
        <v>105</v>
      </c>
      <c r="B53" s="91"/>
      <c r="C53" s="91"/>
      <c r="D53" s="91"/>
      <c r="E53" s="10"/>
      <c r="F53" s="10" t="b">
        <v>1</v>
      </c>
      <c r="G53" s="18"/>
      <c r="H53" s="18"/>
      <c r="I53" s="18"/>
      <c r="J53" s="18"/>
      <c r="K53" s="18"/>
    </row>
    <row r="54" spans="1:11" x14ac:dyDescent="0.2">
      <c r="A54" s="98" t="s">
        <v>106</v>
      </c>
      <c r="B54" s="97"/>
      <c r="C54" s="97"/>
      <c r="D54" s="97"/>
      <c r="E54" s="10"/>
      <c r="F54" s="10" t="b">
        <v>0</v>
      </c>
      <c r="G54" s="18"/>
      <c r="H54" s="18"/>
      <c r="I54" s="18"/>
      <c r="J54" s="18"/>
      <c r="K54" s="18"/>
    </row>
    <row r="55" spans="1:11" x14ac:dyDescent="0.2">
      <c r="A55" s="101"/>
      <c r="B55" s="93">
        <f>COUNT(Travels!B14:B44)</f>
        <v>0</v>
      </c>
      <c r="C55" s="93"/>
      <c r="D55" s="93">
        <f>COUNTIF(Travels!D14:D44,"*")</f>
        <v>0</v>
      </c>
      <c r="E55" s="94"/>
      <c r="F55" s="94" t="b">
        <f>MIN(B55,D55)=MAX(B55,D55)</f>
        <v>1</v>
      </c>
      <c r="G55" s="18"/>
      <c r="H55" s="18"/>
      <c r="I55" s="18"/>
      <c r="J55" s="18"/>
      <c r="K55" s="18"/>
    </row>
    <row r="56" spans="1:11" x14ac:dyDescent="0.2">
      <c r="A56" s="101" t="s">
        <v>107</v>
      </c>
      <c r="B56" s="93">
        <f>COUNT(Travels!B50:B57)</f>
        <v>4</v>
      </c>
      <c r="C56" s="93"/>
      <c r="D56" s="93">
        <f>COUNTIF(Travels!D50:D57,"*")</f>
        <v>4</v>
      </c>
      <c r="E56" s="94"/>
      <c r="F56" s="94" t="b">
        <f>MIN(B56,D56)=MAX(B56,D56)</f>
        <v>1</v>
      </c>
    </row>
    <row r="57" spans="1:11" x14ac:dyDescent="0.2">
      <c r="A57" s="102"/>
      <c r="B57" s="93">
        <f>COUNT(Travels!B87:B91)</f>
        <v>4</v>
      </c>
      <c r="C57" s="93"/>
      <c r="D57" s="93">
        <f>COUNTIF(Travels!D87:D91,"*")</f>
        <v>4</v>
      </c>
      <c r="E57" s="94"/>
      <c r="F57" s="94" t="b">
        <f>MIN(B57,D57)=MAX(B57,D57)</f>
        <v>1</v>
      </c>
    </row>
    <row r="58" spans="1:11" x14ac:dyDescent="0.2">
      <c r="A58" s="104" t="s">
        <v>108</v>
      </c>
      <c r="B58" s="93">
        <f>COUNT('Hospitality '!B11:B20)</f>
        <v>2</v>
      </c>
      <c r="C58" s="93"/>
      <c r="D58" s="93">
        <f>COUNTIF('Hospitality '!D11:D20,"*")</f>
        <v>2</v>
      </c>
      <c r="E58" s="94"/>
      <c r="F58" s="94" t="b">
        <f>MIN(B58,D58)=MAX(B58,D58)</f>
        <v>1</v>
      </c>
    </row>
    <row r="59" spans="1:11" x14ac:dyDescent="0.2">
      <c r="A59" s="104" t="s">
        <v>109</v>
      </c>
      <c r="B59" s="94">
        <f>COUNT('All other expenses '!B11:B17)</f>
        <v>0</v>
      </c>
      <c r="C59" s="94"/>
      <c r="D59" s="93">
        <f>COUNTIF('All other expenses '!D11:D15,"*")</f>
        <v>0</v>
      </c>
      <c r="E59" s="94"/>
      <c r="F59" s="94" t="b">
        <f>MIN(B59,D59)=MAX(B59,D59)</f>
        <v>1</v>
      </c>
    </row>
    <row r="60" spans="1:11" x14ac:dyDescent="0.2">
      <c r="A60" s="104" t="s">
        <v>110</v>
      </c>
      <c r="B60" s="93">
        <f>COUNTIF('Gifts and benefits '!B11:B15,"*")</f>
        <v>1</v>
      </c>
      <c r="C60" s="93"/>
      <c r="D60" s="93">
        <f>COUNTIF('Gifts and benefits '!D11:D15,"*")</f>
        <v>1</v>
      </c>
      <c r="E60" s="93"/>
      <c r="F60" s="94" t="b">
        <f>MIN(B60,C60,E60)=MAX(B60,C60,E60)</f>
        <v>1</v>
      </c>
    </row>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8D35D371-E778-46F9-951A-400882CF15D5}"/>
    <dataValidation allowBlank="1" showInputMessage="1" showErrorMessage="1" prompt="Headings on following tabs will pre populate with what you enter here_x000a__x000a_Update if a shorter or different period is covered" sqref="B4:F5" xr:uid="{89E4507A-C7EA-453C-BAEA-889CB8D3CE37}"/>
    <dataValidation allowBlank="1" showInputMessage="1" showErrorMessage="1" prompt="Headings on following tabs will pre populate with what you enter here_x000a__x000a_Create a new workbook for a new Chief Executive" sqref="B3:F3" xr:uid="{3ACEBDDF-B45C-48A2-8867-2DB364C01476}"/>
    <dataValidation allowBlank="1" showInputMessage="1" showErrorMessage="1" prompt="Headings on following tabs will pre populate with what you enter here" sqref="B2:F2" xr:uid="{B9D8DA44-B417-47DB-9CC3-ABCC9877D2D7}"/>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C0A9656A-CE09-4859-9CA2-E8E638EF88CA}"/>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5D272372-52F4-431D-8A61-F4EC817071D8}">
      <formula1>$A$36:$A$37</formula1>
    </dataValidation>
  </dataValidations>
  <pageMargins left="0.70866141732283472" right="0.70866141732283472" top="0.74803149606299213" bottom="0.74803149606299213" header="0.31496062992125984" footer="0.31496062992125984"/>
  <pageSetup paperSize="9" scale="99" orientation="landscape" r:id="rId1"/>
  <headerFooter alignWithMargins="0">
    <oddFooter>&amp;LCE Expense Disclosure Workbook 2018&amp;RWorksheet - Summary and sign-off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34C9-6CDB-40E0-A192-C0301EE75040}">
  <sheetPr>
    <tabColor theme="3" tint="0.39997558519241921"/>
    <pageSetUpPr fitToPage="1"/>
  </sheetPr>
  <dimension ref="A1:M323"/>
  <sheetViews>
    <sheetView zoomScaleNormal="100" workbookViewId="0">
      <selection activeCell="D13" sqref="D13"/>
    </sheetView>
  </sheetViews>
  <sheetFormatPr defaultColWidth="0" defaultRowHeight="12.75" zeroHeight="1" x14ac:dyDescent="0.2"/>
  <cols>
    <col min="1" max="1" width="25.7109375" customWidth="1"/>
    <col min="2" max="2" width="14.28515625" customWidth="1"/>
    <col min="3" max="3" width="35.7109375" customWidth="1"/>
    <col min="4" max="4" width="69.42578125" customWidth="1"/>
    <col min="5" max="5" width="22.7109375" customWidth="1"/>
    <col min="6" max="6" width="29.7109375" customWidth="1"/>
    <col min="7" max="9" width="9.140625" hidden="1" customWidth="1"/>
    <col min="10" max="13" width="0" hidden="1" customWidth="1"/>
    <col min="14" max="16384" width="9.140625" hidden="1"/>
  </cols>
  <sheetData>
    <row r="1" spans="1:6" ht="26.25" customHeight="1" thickTop="1" x14ac:dyDescent="0.2">
      <c r="A1" s="790" t="s">
        <v>204</v>
      </c>
      <c r="B1" s="791"/>
      <c r="C1" s="791"/>
      <c r="D1" s="791"/>
      <c r="E1" s="792"/>
      <c r="F1" s="18"/>
    </row>
    <row r="2" spans="1:6" ht="15.75" x14ac:dyDescent="0.2">
      <c r="A2" s="606" t="s">
        <v>52</v>
      </c>
      <c r="B2" s="793" t="str">
        <f>'Summary and sign-off '!B2:F2</f>
        <v>Education New Zealand</v>
      </c>
      <c r="C2" s="793"/>
      <c r="D2" s="793"/>
      <c r="E2" s="794"/>
      <c r="F2" s="18"/>
    </row>
    <row r="3" spans="1:6" ht="31.5" x14ac:dyDescent="0.2">
      <c r="A3" s="606" t="s">
        <v>199</v>
      </c>
      <c r="B3" s="795" t="str">
        <f>'Summary and sign-off '!B3:F3</f>
        <v>Linda Sissons</v>
      </c>
      <c r="C3" s="795"/>
      <c r="D3" s="795"/>
      <c r="E3" s="796"/>
      <c r="F3" s="18"/>
    </row>
    <row r="4" spans="1:6" ht="31.5" x14ac:dyDescent="0.2">
      <c r="A4" s="606" t="s">
        <v>56</v>
      </c>
      <c r="B4" s="797">
        <f>'Summary and sign-off '!B4:F4</f>
        <v>45474</v>
      </c>
      <c r="C4" s="797"/>
      <c r="D4" s="797"/>
      <c r="E4" s="798"/>
      <c r="F4" s="18"/>
    </row>
    <row r="5" spans="1:6" ht="21" customHeight="1" x14ac:dyDescent="0.2">
      <c r="A5" s="606" t="s">
        <v>57</v>
      </c>
      <c r="B5" s="797">
        <f>'Summary and sign-off '!B5:F5</f>
        <v>45562</v>
      </c>
      <c r="C5" s="797"/>
      <c r="D5" s="797"/>
      <c r="E5" s="798"/>
      <c r="F5" s="18"/>
    </row>
    <row r="6" spans="1:6" ht="21" customHeight="1" x14ac:dyDescent="0.2">
      <c r="A6" s="606" t="s">
        <v>112</v>
      </c>
      <c r="B6" s="748" t="s">
        <v>83</v>
      </c>
      <c r="C6" s="748"/>
      <c r="D6" s="748"/>
      <c r="E6" s="789"/>
      <c r="F6" s="18"/>
    </row>
    <row r="7" spans="1:6" ht="21" customHeight="1" x14ac:dyDescent="0.2">
      <c r="A7" s="606" t="s">
        <v>58</v>
      </c>
      <c r="B7" s="799" t="s">
        <v>85</v>
      </c>
      <c r="C7" s="799"/>
      <c r="D7" s="799"/>
      <c r="E7" s="800"/>
      <c r="F7" s="18"/>
    </row>
    <row r="8" spans="1:6" ht="15.75" x14ac:dyDescent="0.2">
      <c r="A8" s="801" t="s">
        <v>113</v>
      </c>
      <c r="B8" s="737"/>
      <c r="C8" s="737"/>
      <c r="D8" s="737"/>
      <c r="E8" s="802"/>
      <c r="F8" s="20"/>
    </row>
    <row r="9" spans="1:6" ht="13.5" thickBot="1" x14ac:dyDescent="0.25">
      <c r="A9" s="803" t="s">
        <v>2274</v>
      </c>
      <c r="B9" s="739"/>
      <c r="C9" s="739"/>
      <c r="D9" s="739"/>
      <c r="E9" s="804"/>
      <c r="F9" s="20"/>
    </row>
    <row r="10" spans="1:6" ht="16.5" thickTop="1" x14ac:dyDescent="0.2">
      <c r="A10" s="805" t="s">
        <v>115</v>
      </c>
      <c r="B10" s="806"/>
      <c r="C10" s="807"/>
      <c r="D10" s="807"/>
      <c r="E10" s="808"/>
      <c r="F10" s="30"/>
    </row>
    <row r="11" spans="1:6" ht="38.25" x14ac:dyDescent="0.2">
      <c r="A11" s="607" t="s">
        <v>116</v>
      </c>
      <c r="B11" s="25" t="s">
        <v>205</v>
      </c>
      <c r="C11" s="25" t="s">
        <v>206</v>
      </c>
      <c r="D11" s="25" t="s">
        <v>207</v>
      </c>
      <c r="E11" s="608" t="s">
        <v>119</v>
      </c>
      <c r="F11" s="31"/>
    </row>
    <row r="12" spans="1:6" ht="13.5" thickBot="1" x14ac:dyDescent="0.25">
      <c r="A12" s="627"/>
      <c r="B12" s="628"/>
      <c r="C12" s="628"/>
      <c r="D12" s="628"/>
      <c r="E12" s="629"/>
      <c r="F12" s="581"/>
    </row>
    <row r="13" spans="1:6" ht="13.5" thickTop="1" x14ac:dyDescent="0.2">
      <c r="A13" s="656"/>
      <c r="B13" s="706"/>
      <c r="C13" s="658" t="s">
        <v>2295</v>
      </c>
      <c r="D13" s="657"/>
      <c r="E13" s="659"/>
      <c r="F13" s="31"/>
    </row>
    <row r="14" spans="1:6" s="1" customFormat="1" ht="12.75" hidden="1" customHeight="1" x14ac:dyDescent="0.2">
      <c r="A14" s="609"/>
      <c r="B14" s="562"/>
      <c r="C14" s="767"/>
      <c r="D14" s="551"/>
      <c r="E14" s="610"/>
      <c r="F14" s="441"/>
    </row>
    <row r="15" spans="1:6" s="1" customFormat="1" hidden="1" x14ac:dyDescent="0.2">
      <c r="A15" s="611"/>
      <c r="B15" s="566"/>
      <c r="C15" s="775"/>
      <c r="D15" s="564"/>
      <c r="E15" s="612"/>
      <c r="F15" s="441"/>
    </row>
    <row r="16" spans="1:6" s="1" customFormat="1" ht="12.75" hidden="1" customHeight="1" x14ac:dyDescent="0.2">
      <c r="A16" s="611"/>
      <c r="B16" s="566"/>
      <c r="C16" s="775"/>
      <c r="D16" s="564"/>
      <c r="E16" s="612"/>
      <c r="F16" s="441"/>
    </row>
    <row r="17" spans="1:6" s="1" customFormat="1" ht="12.75" hidden="1" customHeight="1" x14ac:dyDescent="0.2">
      <c r="A17" s="611"/>
      <c r="B17" s="566"/>
      <c r="C17" s="775"/>
      <c r="D17" s="564"/>
      <c r="E17" s="612"/>
      <c r="F17" s="441"/>
    </row>
    <row r="18" spans="1:6" s="1" customFormat="1" ht="12.75" hidden="1" customHeight="1" x14ac:dyDescent="0.2">
      <c r="A18" s="611"/>
      <c r="B18" s="566"/>
      <c r="C18" s="775"/>
      <c r="D18" s="564"/>
      <c r="E18" s="612"/>
      <c r="F18" s="441"/>
    </row>
    <row r="19" spans="1:6" s="1" customFormat="1" ht="12.75" hidden="1" customHeight="1" x14ac:dyDescent="0.2">
      <c r="A19" s="611"/>
      <c r="B19" s="566"/>
      <c r="C19" s="775"/>
      <c r="D19" s="564"/>
      <c r="E19" s="612"/>
      <c r="F19" s="441"/>
    </row>
    <row r="20" spans="1:6" s="1" customFormat="1" ht="12.75" hidden="1" customHeight="1" x14ac:dyDescent="0.2">
      <c r="A20" s="613"/>
      <c r="B20" s="566"/>
      <c r="C20" s="775"/>
      <c r="D20" s="564"/>
      <c r="E20" s="612"/>
      <c r="F20" s="441"/>
    </row>
    <row r="21" spans="1:6" s="1" customFormat="1" ht="12.75" hidden="1" customHeight="1" x14ac:dyDescent="0.2">
      <c r="A21" s="809"/>
      <c r="B21" s="566"/>
      <c r="C21" s="775"/>
      <c r="D21" s="564"/>
      <c r="E21" s="612"/>
      <c r="F21" s="441"/>
    </row>
    <row r="22" spans="1:6" s="1" customFormat="1" ht="12.75" hidden="1" customHeight="1" x14ac:dyDescent="0.2">
      <c r="A22" s="810"/>
      <c r="B22" s="566"/>
      <c r="C22" s="775"/>
      <c r="D22" s="564"/>
      <c r="E22" s="612"/>
      <c r="F22" s="441"/>
    </row>
    <row r="23" spans="1:6" s="1" customFormat="1" ht="12.75" hidden="1" customHeight="1" x14ac:dyDescent="0.2">
      <c r="A23" s="810"/>
      <c r="B23" s="566"/>
      <c r="C23" s="775"/>
      <c r="D23" s="564"/>
      <c r="E23" s="612"/>
      <c r="F23" s="441"/>
    </row>
    <row r="24" spans="1:6" s="1" customFormat="1" ht="12.75" hidden="1" customHeight="1" x14ac:dyDescent="0.2">
      <c r="A24" s="810"/>
      <c r="B24" s="566"/>
      <c r="C24" s="775"/>
      <c r="D24" s="564"/>
      <c r="E24" s="612"/>
      <c r="F24" s="441"/>
    </row>
    <row r="25" spans="1:6" s="1" customFormat="1" ht="12.75" hidden="1" customHeight="1" x14ac:dyDescent="0.2">
      <c r="A25" s="811"/>
      <c r="B25" s="566"/>
      <c r="C25" s="775"/>
      <c r="D25" s="564"/>
      <c r="E25" s="612"/>
      <c r="F25" s="441"/>
    </row>
    <row r="26" spans="1:6" s="1" customFormat="1" ht="12.75" hidden="1" customHeight="1" x14ac:dyDescent="0.2">
      <c r="A26" s="611"/>
      <c r="B26" s="566"/>
      <c r="C26" s="775"/>
      <c r="D26" s="564"/>
      <c r="E26" s="612"/>
      <c r="F26" s="441"/>
    </row>
    <row r="27" spans="1:6" s="1" customFormat="1" ht="12.75" hidden="1" customHeight="1" x14ac:dyDescent="0.2">
      <c r="A27" s="614"/>
      <c r="B27" s="568"/>
      <c r="C27" s="768"/>
      <c r="D27" s="567"/>
      <c r="E27" s="615"/>
      <c r="F27" s="441"/>
    </row>
    <row r="28" spans="1:6" s="1" customFormat="1" ht="12.75" hidden="1" customHeight="1" x14ac:dyDescent="0.2">
      <c r="A28" s="611"/>
      <c r="B28" s="566"/>
      <c r="C28" s="767"/>
      <c r="D28" s="564"/>
      <c r="E28" s="612"/>
      <c r="F28" s="441"/>
    </row>
    <row r="29" spans="1:6" s="1" customFormat="1" hidden="1" x14ac:dyDescent="0.2">
      <c r="A29" s="611"/>
      <c r="B29" s="566"/>
      <c r="C29" s="775"/>
      <c r="D29" s="440"/>
      <c r="E29" s="616"/>
      <c r="F29" s="573"/>
    </row>
    <row r="30" spans="1:6" s="1" customFormat="1" hidden="1" x14ac:dyDescent="0.2">
      <c r="A30" s="617"/>
      <c r="B30" s="439"/>
      <c r="C30" s="775"/>
      <c r="D30" s="440"/>
      <c r="E30" s="616"/>
      <c r="F30" s="441"/>
    </row>
    <row r="31" spans="1:6" s="1" customFormat="1" hidden="1" x14ac:dyDescent="0.2">
      <c r="A31" s="617"/>
      <c r="B31" s="439"/>
      <c r="C31" s="775"/>
      <c r="D31" s="440"/>
      <c r="E31" s="616"/>
      <c r="F31" s="441"/>
    </row>
    <row r="32" spans="1:6" s="1" customFormat="1" hidden="1" x14ac:dyDescent="0.2">
      <c r="A32" s="618"/>
      <c r="B32" s="439"/>
      <c r="C32" s="775"/>
      <c r="D32" s="440"/>
      <c r="E32" s="616"/>
      <c r="F32" s="441"/>
    </row>
    <row r="33" spans="1:6" s="1" customFormat="1" hidden="1" x14ac:dyDescent="0.2">
      <c r="A33" s="618"/>
      <c r="B33" s="439"/>
      <c r="C33" s="775"/>
      <c r="D33" s="440"/>
      <c r="E33" s="616"/>
      <c r="F33" s="441"/>
    </row>
    <row r="34" spans="1:6" s="1" customFormat="1" hidden="1" x14ac:dyDescent="0.2">
      <c r="A34" s="618"/>
      <c r="B34" s="439"/>
      <c r="C34" s="775"/>
      <c r="D34" s="440"/>
      <c r="E34" s="616"/>
      <c r="F34" s="441"/>
    </row>
    <row r="35" spans="1:6" s="1" customFormat="1" hidden="1" x14ac:dyDescent="0.2">
      <c r="A35" s="618"/>
      <c r="B35" s="439"/>
      <c r="C35" s="775"/>
      <c r="D35" s="440"/>
      <c r="E35" s="616"/>
      <c r="F35" s="441"/>
    </row>
    <row r="36" spans="1:6" s="1" customFormat="1" hidden="1" x14ac:dyDescent="0.2">
      <c r="A36" s="618"/>
      <c r="B36" s="439"/>
      <c r="C36" s="775"/>
      <c r="D36" s="440"/>
      <c r="E36" s="616"/>
      <c r="F36" s="441"/>
    </row>
    <row r="37" spans="1:6" s="1" customFormat="1" hidden="1" x14ac:dyDescent="0.2">
      <c r="A37" s="618"/>
      <c r="B37" s="439"/>
      <c r="C37" s="775"/>
      <c r="D37" s="440"/>
      <c r="E37" s="616"/>
      <c r="F37" s="441"/>
    </row>
    <row r="38" spans="1:6" s="1" customFormat="1" hidden="1" x14ac:dyDescent="0.2">
      <c r="A38" s="618"/>
      <c r="B38" s="439"/>
      <c r="C38" s="775"/>
      <c r="D38" s="440"/>
      <c r="E38" s="616"/>
      <c r="F38" s="441"/>
    </row>
    <row r="39" spans="1:6" s="1" customFormat="1" hidden="1" x14ac:dyDescent="0.2">
      <c r="A39" s="618"/>
      <c r="B39" s="439"/>
      <c r="C39" s="775"/>
      <c r="D39" s="561"/>
      <c r="E39" s="616"/>
      <c r="F39" s="441"/>
    </row>
    <row r="40" spans="1:6" s="1" customFormat="1" hidden="1" x14ac:dyDescent="0.2">
      <c r="A40" s="618"/>
      <c r="B40" s="439"/>
      <c r="C40" s="775"/>
      <c r="D40" s="561"/>
      <c r="E40" s="616"/>
      <c r="F40" s="441"/>
    </row>
    <row r="41" spans="1:6" s="1" customFormat="1" hidden="1" x14ac:dyDescent="0.2">
      <c r="A41" s="618"/>
      <c r="B41" s="439"/>
      <c r="C41" s="775"/>
      <c r="D41" s="561"/>
      <c r="E41" s="616"/>
      <c r="F41" s="441"/>
    </row>
    <row r="42" spans="1:6" s="1" customFormat="1" hidden="1" x14ac:dyDescent="0.2">
      <c r="A42" s="618"/>
      <c r="B42" s="439"/>
      <c r="C42" s="775"/>
      <c r="D42" s="561"/>
      <c r="E42" s="619"/>
      <c r="F42" s="441"/>
    </row>
    <row r="43" spans="1:6" s="1" customFormat="1" hidden="1" x14ac:dyDescent="0.2">
      <c r="A43" s="618"/>
      <c r="B43" s="439"/>
      <c r="C43" s="775"/>
      <c r="D43" s="561"/>
      <c r="E43" s="619"/>
      <c r="F43" s="441"/>
    </row>
    <row r="44" spans="1:6" s="1" customFormat="1" ht="13.5" thickBot="1" x14ac:dyDescent="0.25">
      <c r="A44" s="623"/>
      <c r="B44" s="603"/>
      <c r="C44" s="595"/>
      <c r="D44" s="580"/>
      <c r="E44" s="624"/>
      <c r="F44" s="441"/>
    </row>
    <row r="45" spans="1:6" ht="27" thickTop="1" thickBot="1" x14ac:dyDescent="0.25">
      <c r="A45" s="636" t="s">
        <v>130</v>
      </c>
      <c r="B45" s="632">
        <f>SUBTOTAL(109,B13:B44)</f>
        <v>0</v>
      </c>
      <c r="C45" s="633" t="str">
        <f>IF(SUBTOTAL(3,B14:B43)=SUBTOTAL(103,B14:B43),'Summary and sign-off '!$A$48,'Summary and sign-off '!$A$49)</f>
        <v>Check - there are no hidden rows with data</v>
      </c>
      <c r="D45" s="763" t="str">
        <f>IF('Summary and sign-off '!F55='Summary and sign-off '!F54,'Summary and sign-off '!A51,'Summary and sign-off '!A50)</f>
        <v>Check - each entry provides sufficient information</v>
      </c>
      <c r="E45" s="785"/>
      <c r="F45" s="18"/>
    </row>
    <row r="46" spans="1:6" ht="13.5" thickTop="1" x14ac:dyDescent="0.2">
      <c r="A46" s="620"/>
      <c r="B46" s="20"/>
      <c r="C46" s="18"/>
      <c r="D46" s="18"/>
      <c r="E46" s="621"/>
      <c r="F46" s="18"/>
    </row>
    <row r="47" spans="1:6" ht="10.5" customHeight="1" x14ac:dyDescent="0.2">
      <c r="A47" s="622"/>
      <c r="B47" s="20"/>
      <c r="C47" s="18"/>
      <c r="D47" s="18"/>
      <c r="E47" s="621"/>
      <c r="F47" s="18"/>
    </row>
    <row r="48" spans="1:6" ht="24.75" customHeight="1" x14ac:dyDescent="0.2">
      <c r="A48" s="786" t="s">
        <v>131</v>
      </c>
      <c r="B48" s="787"/>
      <c r="C48" s="787"/>
      <c r="D48" s="787"/>
      <c r="E48" s="788"/>
      <c r="F48" s="30"/>
    </row>
    <row r="49" spans="1:6" ht="44.25" customHeight="1" thickBot="1" x14ac:dyDescent="0.25">
      <c r="A49" s="661" t="s">
        <v>116</v>
      </c>
      <c r="B49" s="628" t="s">
        <v>64</v>
      </c>
      <c r="C49" s="628" t="s">
        <v>208</v>
      </c>
      <c r="D49" s="628" t="s">
        <v>207</v>
      </c>
      <c r="E49" s="662" t="s">
        <v>119</v>
      </c>
      <c r="F49" s="31"/>
    </row>
    <row r="50" spans="1:6" s="1" customFormat="1" ht="13.5" customHeight="1" thickTop="1" x14ac:dyDescent="0.2">
      <c r="A50" s="769">
        <v>45502</v>
      </c>
      <c r="B50" s="598">
        <v>389.67</v>
      </c>
      <c r="C50" s="770" t="s">
        <v>2283</v>
      </c>
      <c r="D50" s="596" t="s">
        <v>2282</v>
      </c>
      <c r="E50" s="689" t="s">
        <v>214</v>
      </c>
    </row>
    <row r="51" spans="1:6" x14ac:dyDescent="0.2">
      <c r="A51" s="769"/>
      <c r="B51" s="575">
        <v>6.55</v>
      </c>
      <c r="C51" s="771"/>
      <c r="D51" s="565" t="s">
        <v>2272</v>
      </c>
      <c r="E51" s="689" t="s">
        <v>214</v>
      </c>
      <c r="F51" s="31"/>
    </row>
    <row r="52" spans="1:6" s="1" customFormat="1" x14ac:dyDescent="0.2">
      <c r="A52" s="769"/>
      <c r="B52" s="569">
        <v>11.2</v>
      </c>
      <c r="C52" s="771"/>
      <c r="D52" s="601" t="s">
        <v>2285</v>
      </c>
      <c r="E52" s="689" t="s">
        <v>214</v>
      </c>
    </row>
    <row r="53" spans="1:6" s="1" customFormat="1" ht="15.75" customHeight="1" thickBot="1" x14ac:dyDescent="0.25">
      <c r="A53" s="766"/>
      <c r="B53" s="600">
        <v>-389.67</v>
      </c>
      <c r="C53" s="772"/>
      <c r="D53" s="599" t="s">
        <v>2284</v>
      </c>
      <c r="E53" s="689" t="s">
        <v>214</v>
      </c>
    </row>
    <row r="54" spans="1:6" s="1" customFormat="1" hidden="1" x14ac:dyDescent="0.2">
      <c r="A54" s="765"/>
      <c r="B54" s="603"/>
      <c r="C54" s="773"/>
      <c r="D54" s="604"/>
      <c r="E54" s="690"/>
      <c r="F54" s="605"/>
    </row>
    <row r="55" spans="1:6" s="1" customFormat="1" hidden="1" x14ac:dyDescent="0.2">
      <c r="A55" s="769"/>
      <c r="B55" s="602"/>
      <c r="C55" s="771"/>
      <c r="D55" s="571"/>
      <c r="E55" s="691"/>
    </row>
    <row r="56" spans="1:6" s="1" customFormat="1" hidden="1" x14ac:dyDescent="0.2">
      <c r="A56" s="769"/>
      <c r="B56" s="570"/>
      <c r="C56" s="771"/>
      <c r="D56" s="571"/>
      <c r="E56" s="692"/>
    </row>
    <row r="57" spans="1:6" s="1" customFormat="1" hidden="1" x14ac:dyDescent="0.2">
      <c r="A57" s="769"/>
      <c r="B57" s="575"/>
      <c r="C57" s="771"/>
      <c r="D57" s="597"/>
      <c r="E57" s="692"/>
    </row>
    <row r="58" spans="1:6" s="1" customFormat="1" hidden="1" x14ac:dyDescent="0.2">
      <c r="A58" s="765"/>
      <c r="B58" s="547"/>
      <c r="C58" s="767"/>
      <c r="D58" s="548"/>
      <c r="E58" s="693"/>
      <c r="F58" s="441"/>
    </row>
    <row r="59" spans="1:6" s="1" customFormat="1" hidden="1" x14ac:dyDescent="0.2">
      <c r="A59" s="769"/>
      <c r="B59" s="563"/>
      <c r="C59" s="775"/>
      <c r="D59" s="576"/>
      <c r="E59" s="694"/>
      <c r="F59" s="441"/>
    </row>
    <row r="60" spans="1:6" s="1" customFormat="1" hidden="1" x14ac:dyDescent="0.2">
      <c r="A60" s="769"/>
      <c r="B60" s="563"/>
      <c r="C60" s="775"/>
      <c r="D60" s="576"/>
      <c r="E60" s="694"/>
      <c r="F60" s="441"/>
    </row>
    <row r="61" spans="1:6" s="1" customFormat="1" hidden="1" x14ac:dyDescent="0.2">
      <c r="A61" s="769"/>
      <c r="B61" s="563"/>
      <c r="C61" s="775"/>
      <c r="D61" s="576"/>
      <c r="E61" s="694"/>
      <c r="F61" s="441"/>
    </row>
    <row r="62" spans="1:6" s="1" customFormat="1" hidden="1" x14ac:dyDescent="0.2">
      <c r="A62" s="769"/>
      <c r="B62" s="563"/>
      <c r="C62" s="775"/>
      <c r="D62" s="576"/>
      <c r="E62" s="694"/>
      <c r="F62" s="441"/>
    </row>
    <row r="63" spans="1:6" s="1" customFormat="1" ht="13.5" hidden="1" thickBot="1" x14ac:dyDescent="0.25">
      <c r="A63" s="774"/>
      <c r="B63" s="625"/>
      <c r="C63" s="776"/>
      <c r="D63" s="626"/>
      <c r="E63" s="695"/>
      <c r="F63" s="441"/>
    </row>
    <row r="64" spans="1:6" s="1" customFormat="1" ht="13.5" hidden="1" thickTop="1" x14ac:dyDescent="0.2">
      <c r="A64" s="696"/>
      <c r="B64" s="563"/>
      <c r="C64" s="565"/>
      <c r="D64" s="576"/>
      <c r="E64" s="697"/>
      <c r="F64" s="441"/>
    </row>
    <row r="65" spans="1:6" s="1" customFormat="1" hidden="1" x14ac:dyDescent="0.2">
      <c r="A65" s="696"/>
      <c r="B65" s="563"/>
      <c r="C65" s="565"/>
      <c r="D65" s="576"/>
      <c r="E65" s="698"/>
      <c r="F65" s="441"/>
    </row>
    <row r="66" spans="1:6" s="1" customFormat="1" hidden="1" x14ac:dyDescent="0.2">
      <c r="A66" s="696"/>
      <c r="B66" s="563"/>
      <c r="C66" s="565"/>
      <c r="D66" s="576"/>
      <c r="E66" s="699"/>
      <c r="F66" s="441"/>
    </row>
    <row r="67" spans="1:6" s="1" customFormat="1" hidden="1" x14ac:dyDescent="0.2">
      <c r="A67" s="696"/>
      <c r="B67" s="563"/>
      <c r="C67" s="565"/>
      <c r="D67" s="576"/>
      <c r="E67" s="694"/>
      <c r="F67" s="441"/>
    </row>
    <row r="68" spans="1:6" s="1" customFormat="1" hidden="1" x14ac:dyDescent="0.2">
      <c r="A68" s="696"/>
      <c r="B68" s="563"/>
      <c r="C68" s="565"/>
      <c r="D68" s="576"/>
      <c r="E68" s="698"/>
      <c r="F68" s="441"/>
    </row>
    <row r="69" spans="1:6" s="1" customFormat="1" hidden="1" x14ac:dyDescent="0.2">
      <c r="A69" s="696"/>
      <c r="B69" s="563"/>
      <c r="C69" s="565"/>
      <c r="D69" s="576"/>
      <c r="E69" s="699"/>
      <c r="F69" s="441"/>
    </row>
    <row r="70" spans="1:6" s="1" customFormat="1" hidden="1" x14ac:dyDescent="0.2">
      <c r="A70" s="696"/>
      <c r="B70" s="563"/>
      <c r="C70" s="565"/>
      <c r="D70" s="576"/>
      <c r="E70" s="698"/>
      <c r="F70" s="441"/>
    </row>
    <row r="71" spans="1:6" s="1" customFormat="1" hidden="1" x14ac:dyDescent="0.2">
      <c r="A71" s="696"/>
      <c r="B71" s="563"/>
      <c r="C71" s="565"/>
      <c r="D71" s="576"/>
      <c r="E71" s="698"/>
      <c r="F71" s="441"/>
    </row>
    <row r="72" spans="1:6" s="1" customFormat="1" hidden="1" x14ac:dyDescent="0.2">
      <c r="A72" s="700"/>
      <c r="B72" s="574"/>
      <c r="C72" s="567"/>
      <c r="D72" s="579"/>
      <c r="E72" s="701"/>
      <c r="F72" s="441"/>
    </row>
    <row r="73" spans="1:6" s="1" customFormat="1" hidden="1" x14ac:dyDescent="0.2">
      <c r="A73" s="765"/>
      <c r="B73" s="547"/>
      <c r="C73" s="767"/>
      <c r="D73" s="548"/>
      <c r="E73" s="702"/>
      <c r="F73" s="441"/>
    </row>
    <row r="74" spans="1:6" s="1" customFormat="1" hidden="1" x14ac:dyDescent="0.2">
      <c r="A74" s="766"/>
      <c r="B74" s="549"/>
      <c r="C74" s="768"/>
      <c r="D74" s="550"/>
      <c r="E74" s="703"/>
      <c r="F74" s="441"/>
    </row>
    <row r="75" spans="1:6" s="1" customFormat="1" hidden="1" x14ac:dyDescent="0.2">
      <c r="A75" s="765"/>
      <c r="B75" s="547"/>
      <c r="C75" s="767"/>
      <c r="D75" s="548"/>
      <c r="E75" s="702"/>
      <c r="F75" s="441"/>
    </row>
    <row r="76" spans="1:6" s="1" customFormat="1" hidden="1" x14ac:dyDescent="0.2">
      <c r="A76" s="766"/>
      <c r="B76" s="549"/>
      <c r="C76" s="768"/>
      <c r="D76" s="550"/>
      <c r="E76" s="703"/>
      <c r="F76" s="441"/>
    </row>
    <row r="77" spans="1:6" s="1" customFormat="1" hidden="1" x14ac:dyDescent="0.2">
      <c r="A77" s="765"/>
      <c r="B77" s="547"/>
      <c r="C77" s="767"/>
      <c r="D77" s="548"/>
      <c r="E77" s="702"/>
      <c r="F77" s="441"/>
    </row>
    <row r="78" spans="1:6" s="1" customFormat="1" hidden="1" x14ac:dyDescent="0.2">
      <c r="A78" s="766"/>
      <c r="B78" s="549"/>
      <c r="C78" s="768"/>
      <c r="D78" s="550"/>
      <c r="E78" s="703"/>
      <c r="F78" s="441"/>
    </row>
    <row r="79" spans="1:6" s="1" customFormat="1" hidden="1" x14ac:dyDescent="0.2">
      <c r="A79" s="765"/>
      <c r="B79" s="547"/>
      <c r="C79" s="767"/>
      <c r="D79" s="548"/>
      <c r="E79" s="702"/>
      <c r="F79" s="441"/>
    </row>
    <row r="80" spans="1:6" s="1" customFormat="1" hidden="1" x14ac:dyDescent="0.2">
      <c r="A80" s="766"/>
      <c r="B80" s="549"/>
      <c r="C80" s="768"/>
      <c r="D80" s="550"/>
      <c r="E80" s="703"/>
      <c r="F80" s="441"/>
    </row>
    <row r="81" spans="1:6" s="1" customFormat="1" hidden="1" x14ac:dyDescent="0.2">
      <c r="A81" s="765"/>
      <c r="B81" s="547"/>
      <c r="C81" s="767"/>
      <c r="D81" s="548"/>
      <c r="E81" s="702"/>
      <c r="F81" s="441"/>
    </row>
    <row r="82" spans="1:6" s="1" customFormat="1" ht="13.5" hidden="1" thickBot="1" x14ac:dyDescent="0.25">
      <c r="A82" s="769"/>
      <c r="B82" s="630"/>
      <c r="C82" s="775"/>
      <c r="D82" s="631"/>
      <c r="E82" s="704"/>
      <c r="F82" s="441"/>
    </row>
    <row r="83" spans="1:6" ht="27" thickTop="1" thickBot="1" x14ac:dyDescent="0.25">
      <c r="A83" s="705" t="s">
        <v>146</v>
      </c>
      <c r="B83" s="632">
        <f>SUM(B50:B82)</f>
        <v>17.75</v>
      </c>
      <c r="C83" s="633" t="str">
        <f>IF(SUBTOTAL(3,B81:B82)=SUBTOTAL(103,B81:B82),'Summary and sign-off '!$A$48,'Summary and sign-off '!$A$49)</f>
        <v>Check - there are no hidden rows with data</v>
      </c>
      <c r="D83" s="763" t="str">
        <f>IF('Summary and sign-off '!F56='Summary and sign-off '!F54,'Summary and sign-off '!A51,'Summary and sign-off '!A50)</f>
        <v>Check - each entry provides sufficient information</v>
      </c>
      <c r="E83" s="764"/>
      <c r="F83" s="499"/>
    </row>
    <row r="84" spans="1:6" ht="18" customHeight="1" thickTop="1" x14ac:dyDescent="0.2">
      <c r="A84" s="668"/>
      <c r="B84" s="20"/>
      <c r="C84" s="18"/>
      <c r="D84" s="18"/>
      <c r="E84" s="669"/>
      <c r="F84" s="18"/>
    </row>
    <row r="85" spans="1:6" ht="24.75" customHeight="1" x14ac:dyDescent="0.2">
      <c r="A85" s="786" t="s">
        <v>147</v>
      </c>
      <c r="B85" s="787"/>
      <c r="C85" s="787"/>
      <c r="D85" s="787"/>
      <c r="E85" s="788"/>
      <c r="F85" s="18"/>
    </row>
    <row r="86" spans="1:6" ht="26.25" thickBot="1" x14ac:dyDescent="0.25">
      <c r="A86" s="661" t="s">
        <v>116</v>
      </c>
      <c r="B86" s="628" t="s">
        <v>64</v>
      </c>
      <c r="C86" s="628" t="s">
        <v>209</v>
      </c>
      <c r="D86" s="628" t="s">
        <v>210</v>
      </c>
      <c r="E86" s="662" t="s">
        <v>119</v>
      </c>
      <c r="F86" s="29"/>
    </row>
    <row r="87" spans="1:6" s="1" customFormat="1" ht="13.5" thickTop="1" x14ac:dyDescent="0.2">
      <c r="A87" s="782" t="s">
        <v>2288</v>
      </c>
      <c r="B87" s="566">
        <v>26.95</v>
      </c>
      <c r="C87" s="777" t="s">
        <v>2287</v>
      </c>
      <c r="D87" s="564" t="s">
        <v>2289</v>
      </c>
      <c r="E87" s="663" t="s">
        <v>214</v>
      </c>
      <c r="F87" s="441"/>
    </row>
    <row r="88" spans="1:6" s="1" customFormat="1" x14ac:dyDescent="0.2">
      <c r="A88" s="783"/>
      <c r="B88" s="566">
        <v>5.22</v>
      </c>
      <c r="C88" s="775"/>
      <c r="D88" s="564" t="s">
        <v>2278</v>
      </c>
      <c r="E88" s="663" t="s">
        <v>214</v>
      </c>
      <c r="F88" s="441"/>
    </row>
    <row r="89" spans="1:6" s="1" customFormat="1" x14ac:dyDescent="0.2">
      <c r="A89" s="783"/>
      <c r="B89" s="566">
        <v>48.35</v>
      </c>
      <c r="C89" s="775"/>
      <c r="D89" s="564" t="s">
        <v>2279</v>
      </c>
      <c r="E89" s="663" t="s">
        <v>214</v>
      </c>
      <c r="F89" s="441"/>
    </row>
    <row r="90" spans="1:6" s="1" customFormat="1" ht="26.25" thickBot="1" x14ac:dyDescent="0.25">
      <c r="A90" s="784"/>
      <c r="B90" s="566">
        <v>24.78</v>
      </c>
      <c r="C90" s="778"/>
      <c r="D90" s="564" t="s">
        <v>2280</v>
      </c>
      <c r="E90" s="663" t="s">
        <v>214</v>
      </c>
      <c r="F90" s="441"/>
    </row>
    <row r="91" spans="1:6" s="1" customFormat="1" hidden="1" x14ac:dyDescent="0.2">
      <c r="A91" s="780"/>
      <c r="B91" s="439"/>
      <c r="C91" s="779"/>
      <c r="D91" s="440"/>
      <c r="E91" s="665"/>
      <c r="F91" s="441"/>
    </row>
    <row r="92" spans="1:6" s="1" customFormat="1" hidden="1" x14ac:dyDescent="0.2">
      <c r="A92" s="781"/>
      <c r="B92" s="439"/>
      <c r="C92" s="778"/>
      <c r="D92" s="440"/>
      <c r="E92" s="665"/>
      <c r="F92" s="441"/>
    </row>
    <row r="93" spans="1:6" ht="13.5" hidden="1" thickBot="1" x14ac:dyDescent="0.25">
      <c r="A93" s="664"/>
      <c r="B93" s="634"/>
      <c r="C93" s="572"/>
      <c r="D93" s="635"/>
      <c r="E93" s="666"/>
      <c r="F93" s="18"/>
    </row>
    <row r="94" spans="1:6" ht="27" thickTop="1" thickBot="1" x14ac:dyDescent="0.25">
      <c r="A94" s="667" t="s">
        <v>150</v>
      </c>
      <c r="B94" s="632">
        <f>SUM(B87:B93)</f>
        <v>105.30000000000001</v>
      </c>
      <c r="C94" s="633" t="str">
        <f>IF(SUBTOTAL(3,B92:B93)=SUBTOTAL(103,B92:B93),'Summary and sign-off '!$A$48,'Summary and sign-off '!$A$49)</f>
        <v>Check - there are no hidden rows with data</v>
      </c>
      <c r="D94" s="763" t="str">
        <f>IF('Summary and sign-off '!F64='Summary and sign-off '!F62,'Summary and sign-off '!A59,'Summary and sign-off '!A58)</f>
        <v>All other expenses check</v>
      </c>
      <c r="E94" s="764"/>
      <c r="F94" s="499"/>
    </row>
    <row r="95" spans="1:6" ht="14.25" thickTop="1" thickBot="1" x14ac:dyDescent="0.25">
      <c r="A95" s="668"/>
      <c r="B95" s="62"/>
      <c r="C95" s="20"/>
      <c r="D95" s="18"/>
      <c r="E95" s="669"/>
      <c r="F95" s="18"/>
    </row>
    <row r="96" spans="1:6" ht="34.5" customHeight="1" thickTop="1" x14ac:dyDescent="0.2">
      <c r="A96" s="670" t="s">
        <v>151</v>
      </c>
      <c r="B96" s="671">
        <f>B45+B83+B94</f>
        <v>123.05000000000001</v>
      </c>
      <c r="C96" s="672"/>
      <c r="D96" s="672"/>
      <c r="E96" s="673"/>
      <c r="F96" s="18"/>
    </row>
    <row r="97" spans="1:6" x14ac:dyDescent="0.2">
      <c r="A97" s="18"/>
      <c r="B97" s="20"/>
      <c r="C97" s="18"/>
      <c r="D97" s="18"/>
      <c r="E97" s="18"/>
      <c r="F97" s="18"/>
    </row>
    <row r="98" spans="1:6" x14ac:dyDescent="0.2">
      <c r="A98" s="19" t="s">
        <v>75</v>
      </c>
      <c r="B98" s="20"/>
      <c r="C98" s="18"/>
      <c r="D98" s="18"/>
      <c r="E98" s="18"/>
      <c r="F98" s="18"/>
    </row>
    <row r="99" spans="1:6" ht="12.6" customHeight="1" x14ac:dyDescent="0.2">
      <c r="A99" s="21" t="s">
        <v>211</v>
      </c>
      <c r="F99" s="18"/>
    </row>
    <row r="100" spans="1:6" ht="12.95" customHeight="1" x14ac:dyDescent="0.2">
      <c r="A100" s="21" t="s">
        <v>153</v>
      </c>
      <c r="B100" s="18"/>
      <c r="D100" s="18"/>
      <c r="F100" s="18"/>
    </row>
    <row r="101" spans="1:6" x14ac:dyDescent="0.2">
      <c r="A101" s="21" t="s">
        <v>154</v>
      </c>
      <c r="F101" s="18"/>
    </row>
    <row r="102" spans="1:6" x14ac:dyDescent="0.2">
      <c r="A102" s="21" t="s">
        <v>81</v>
      </c>
      <c r="B102" s="20"/>
      <c r="C102" s="18"/>
      <c r="D102" s="18"/>
      <c r="E102" s="18"/>
      <c r="F102" s="18"/>
    </row>
    <row r="103" spans="1:6" ht="12.95" customHeight="1" x14ac:dyDescent="0.2">
      <c r="A103" s="21" t="s">
        <v>155</v>
      </c>
      <c r="B103" s="18"/>
      <c r="D103" s="18"/>
      <c r="F103" s="18"/>
    </row>
    <row r="104" spans="1:6" x14ac:dyDescent="0.2">
      <c r="A104" s="21" t="s">
        <v>156</v>
      </c>
      <c r="F104" s="18"/>
    </row>
    <row r="105" spans="1:6" x14ac:dyDescent="0.2">
      <c r="A105" s="21" t="s">
        <v>157</v>
      </c>
      <c r="B105" s="21"/>
      <c r="C105" s="21"/>
      <c r="D105" s="21"/>
      <c r="F105" s="18"/>
    </row>
    <row r="106" spans="1:6" x14ac:dyDescent="0.2">
      <c r="A106" s="27"/>
      <c r="B106" s="18"/>
      <c r="C106" s="18"/>
      <c r="D106" s="18"/>
      <c r="E106" s="18"/>
      <c r="F106" s="18"/>
    </row>
    <row r="107" spans="1:6" hidden="1" x14ac:dyDescent="0.2">
      <c r="A107" s="27"/>
      <c r="B107" s="18"/>
      <c r="C107" s="18"/>
      <c r="D107" s="18"/>
      <c r="E107" s="18"/>
      <c r="F107" s="18"/>
    </row>
    <row r="108" spans="1:6" x14ac:dyDescent="0.2"/>
    <row r="109" spans="1:6" x14ac:dyDescent="0.2"/>
    <row r="110" spans="1:6" x14ac:dyDescent="0.2"/>
    <row r="111" spans="1:6" x14ac:dyDescent="0.2"/>
    <row r="112" spans="1:6" ht="12.75" hidden="1" customHeight="1" x14ac:dyDescent="0.2"/>
    <row r="113" spans="1:6" x14ac:dyDescent="0.2"/>
    <row r="114" spans="1:6" x14ac:dyDescent="0.2"/>
    <row r="115" spans="1:6" hidden="1" x14ac:dyDescent="0.2">
      <c r="A115" s="27"/>
      <c r="B115" s="18"/>
      <c r="C115" s="18"/>
      <c r="D115" s="18"/>
      <c r="E115" s="18"/>
      <c r="F115" s="18"/>
    </row>
    <row r="116" spans="1:6" hidden="1" x14ac:dyDescent="0.2">
      <c r="A116" s="27"/>
      <c r="B116" s="18"/>
      <c r="C116" s="18"/>
      <c r="D116" s="18"/>
      <c r="E116" s="18"/>
      <c r="F116" s="18"/>
    </row>
    <row r="117" spans="1:6" hidden="1" x14ac:dyDescent="0.2">
      <c r="A117" s="27"/>
      <c r="B117" s="18"/>
      <c r="C117" s="18"/>
      <c r="D117" s="18"/>
      <c r="E117" s="18"/>
      <c r="F117" s="18"/>
    </row>
    <row r="118" spans="1:6" hidden="1" x14ac:dyDescent="0.2">
      <c r="A118" s="27"/>
      <c r="B118" s="18"/>
      <c r="C118" s="18"/>
      <c r="D118" s="18"/>
      <c r="E118" s="18"/>
      <c r="F118" s="18"/>
    </row>
    <row r="119" spans="1:6" hidden="1" x14ac:dyDescent="0.2">
      <c r="A119" s="27"/>
      <c r="B119" s="18"/>
      <c r="C119" s="18"/>
      <c r="D119" s="18"/>
      <c r="E119" s="18"/>
      <c r="F119" s="18"/>
    </row>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sheetData>
  <sheetProtection formatCells="0" formatRows="0" insertColumns="0" insertRows="0" deleteRows="0"/>
  <mergeCells count="38">
    <mergeCell ref="C28:C43"/>
    <mergeCell ref="B6:E6"/>
    <mergeCell ref="A1:E1"/>
    <mergeCell ref="B2:E2"/>
    <mergeCell ref="B3:E3"/>
    <mergeCell ref="B4:E4"/>
    <mergeCell ref="B5:E5"/>
    <mergeCell ref="B7:E7"/>
    <mergeCell ref="A8:E8"/>
    <mergeCell ref="A9:E9"/>
    <mergeCell ref="A10:E10"/>
    <mergeCell ref="C14:C27"/>
    <mergeCell ref="A21:A25"/>
    <mergeCell ref="D45:E45"/>
    <mergeCell ref="A75:A76"/>
    <mergeCell ref="A81:A82"/>
    <mergeCell ref="D83:E83"/>
    <mergeCell ref="A85:E85"/>
    <mergeCell ref="A48:E48"/>
    <mergeCell ref="C79:C80"/>
    <mergeCell ref="C77:C78"/>
    <mergeCell ref="C75:C76"/>
    <mergeCell ref="C81:C82"/>
    <mergeCell ref="A79:A80"/>
    <mergeCell ref="A77:A78"/>
    <mergeCell ref="D94:E94"/>
    <mergeCell ref="A73:A74"/>
    <mergeCell ref="C73:C74"/>
    <mergeCell ref="A50:A53"/>
    <mergeCell ref="C50:C53"/>
    <mergeCell ref="A54:A57"/>
    <mergeCell ref="C54:C57"/>
    <mergeCell ref="A58:A63"/>
    <mergeCell ref="C58:C63"/>
    <mergeCell ref="C87:C90"/>
    <mergeCell ref="C91:C92"/>
    <mergeCell ref="A91:A92"/>
    <mergeCell ref="A87:A90"/>
  </mergeCells>
  <phoneticPr fontId="104" type="noConversion"/>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3 A87 A91" xr:uid="{DF40EBB4-1427-4BC3-A26B-5F754FBED765}">
      <formula1>$B$4</formula1>
      <formula2>$B$5</formula2>
    </dataValidation>
    <dataValidation allowBlank="1" showInputMessage="1" showErrorMessage="1" prompt="Insert additional rows as needed:_x000a_- 'right click' on a row number (left of screen)_x000a_- select 'Insert' (this will insert a row above it)" sqref="A86 A11:A13 A49:A50" xr:uid="{094247AA-C938-481C-ABCC-BCFE5C2938DB}"/>
  </dataValidations>
  <pageMargins left="0.74" right="0.17" top="0.74803149606299213" bottom="0.74803149606299213" header="0.31496062992125984" footer="0.31496062992125984"/>
  <pageSetup paperSize="9" scale="48"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CC707360-FA0F-421A-8C2E-CB0556475819}">
          <x14:formula1>
            <xm:f>'Summary and sign-off '!$A$47</xm:f>
          </x14:formula1>
          <xm:sqref>B14:B44 B52:B57 A14:A21 A26:A29 B87:B93</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DD35103E-2DC3-4352-A40E-374CE8939028}">
          <x14:formula1>
            <xm:f>'Summary and sign-off '!$A$29:$A$30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EDD06F1-BB64-4A62-99EF-41F80A9DD4D3}">
          <x14:formula1>
            <xm:f>'Summary and sign-off '!$A$27:$A$28</xm:f>
          </x14:formula1>
          <xm:sqref>B6:E6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9DF8-9483-4EC0-998E-0BD55D48A2D7}">
  <sheetPr>
    <tabColor theme="3" tint="0.39997558519241921"/>
    <pageSetUpPr fitToPage="1"/>
  </sheetPr>
  <dimension ref="A1:J64"/>
  <sheetViews>
    <sheetView zoomScaleNormal="100" workbookViewId="0">
      <selection activeCell="A21" sqref="A21"/>
    </sheetView>
  </sheetViews>
  <sheetFormatPr defaultColWidth="0" defaultRowHeight="12.75" zeroHeight="1" x14ac:dyDescent="0.2"/>
  <cols>
    <col min="1" max="1" width="26.28515625" customWidth="1"/>
    <col min="2" max="2" width="11.42578125" customWidth="1"/>
    <col min="3" max="3" width="43.5703125" customWidth="1"/>
    <col min="4" max="4" width="32.5703125" customWidth="1"/>
    <col min="5" max="5" width="13.42578125" customWidth="1"/>
    <col min="6" max="6" width="29.7109375" customWidth="1"/>
    <col min="7" max="10" width="9.140625" hidden="1" customWidth="1"/>
    <col min="11" max="13" width="0" hidden="1" customWidth="1"/>
  </cols>
  <sheetData>
    <row r="1" spans="1:6" ht="26.25" customHeight="1" thickTop="1" x14ac:dyDescent="0.2">
      <c r="A1" s="790" t="s">
        <v>204</v>
      </c>
      <c r="B1" s="791"/>
      <c r="C1" s="791"/>
      <c r="D1" s="791"/>
      <c r="E1" s="792"/>
    </row>
    <row r="2" spans="1:6" ht="21" customHeight="1" x14ac:dyDescent="0.2">
      <c r="A2" s="606" t="s">
        <v>52</v>
      </c>
      <c r="B2" s="797" t="str">
        <f>'Summary and sign-off '!B2:F2</f>
        <v>Education New Zealand</v>
      </c>
      <c r="C2" s="797"/>
      <c r="D2" s="797"/>
      <c r="E2" s="798"/>
    </row>
    <row r="3" spans="1:6" ht="21" customHeight="1" x14ac:dyDescent="0.2">
      <c r="A3" s="606" t="s">
        <v>199</v>
      </c>
      <c r="B3" s="797" t="str">
        <f>'Summary and sign-off '!B3:F3</f>
        <v>Linda Sissons</v>
      </c>
      <c r="C3" s="797"/>
      <c r="D3" s="797"/>
      <c r="E3" s="798"/>
    </row>
    <row r="4" spans="1:6" ht="21" customHeight="1" x14ac:dyDescent="0.2">
      <c r="A4" s="606" t="s">
        <v>56</v>
      </c>
      <c r="B4" s="797">
        <f>'Summary and sign-off '!B4:F4</f>
        <v>45474</v>
      </c>
      <c r="C4" s="797"/>
      <c r="D4" s="797"/>
      <c r="E4" s="798"/>
    </row>
    <row r="5" spans="1:6" ht="21" customHeight="1" x14ac:dyDescent="0.2">
      <c r="A5" s="606" t="s">
        <v>57</v>
      </c>
      <c r="B5" s="797">
        <f>'Summary and sign-off '!B5:F5</f>
        <v>45562</v>
      </c>
      <c r="C5" s="797"/>
      <c r="D5" s="797"/>
      <c r="E5" s="798"/>
    </row>
    <row r="6" spans="1:6" ht="21" customHeight="1" x14ac:dyDescent="0.2">
      <c r="A6" s="606" t="s">
        <v>112</v>
      </c>
      <c r="B6" s="748" t="s">
        <v>83</v>
      </c>
      <c r="C6" s="748"/>
      <c r="D6" s="748"/>
      <c r="E6" s="789"/>
    </row>
    <row r="7" spans="1:6" ht="21" customHeight="1" x14ac:dyDescent="0.2">
      <c r="A7" s="639" t="s">
        <v>58</v>
      </c>
      <c r="B7" s="812" t="s">
        <v>85</v>
      </c>
      <c r="C7" s="812"/>
      <c r="D7" s="812"/>
      <c r="E7" s="813"/>
    </row>
    <row r="8" spans="1:6" ht="35.25" customHeight="1" x14ac:dyDescent="0.25">
      <c r="A8" s="814" t="s">
        <v>158</v>
      </c>
      <c r="B8" s="815"/>
      <c r="C8" s="816"/>
      <c r="D8" s="816"/>
      <c r="E8" s="817"/>
      <c r="F8" s="28"/>
    </row>
    <row r="9" spans="1:6" ht="35.25" customHeight="1" x14ac:dyDescent="0.25">
      <c r="A9" s="818" t="s">
        <v>2275</v>
      </c>
      <c r="B9" s="742"/>
      <c r="C9" s="742"/>
      <c r="D9" s="742"/>
      <c r="E9" s="819"/>
      <c r="F9" s="28"/>
    </row>
    <row r="10" spans="1:6" ht="38.25" x14ac:dyDescent="0.2">
      <c r="A10" s="607" t="s">
        <v>160</v>
      </c>
      <c r="B10" s="25" t="s">
        <v>64</v>
      </c>
      <c r="C10" s="25" t="s">
        <v>212</v>
      </c>
      <c r="D10" s="25" t="s">
        <v>213</v>
      </c>
      <c r="E10" s="608" t="s">
        <v>119</v>
      </c>
      <c r="F10" s="660"/>
    </row>
    <row r="11" spans="1:6" s="1" customFormat="1" ht="25.5" x14ac:dyDescent="0.2">
      <c r="A11" s="640">
        <v>45489</v>
      </c>
      <c r="B11" s="725">
        <v>12.39</v>
      </c>
      <c r="C11" s="638" t="s">
        <v>2286</v>
      </c>
      <c r="D11" s="578" t="s">
        <v>2281</v>
      </c>
      <c r="E11" s="641" t="s">
        <v>214</v>
      </c>
    </row>
    <row r="12" spans="1:6" s="1" customFormat="1" x14ac:dyDescent="0.2">
      <c r="A12" s="640">
        <v>45562</v>
      </c>
      <c r="B12" s="726">
        <v>32.340000000000003</v>
      </c>
      <c r="C12" s="638" t="s">
        <v>2292</v>
      </c>
      <c r="D12" s="578" t="s">
        <v>2293</v>
      </c>
      <c r="E12" s="641" t="s">
        <v>214</v>
      </c>
    </row>
    <row r="13" spans="1:6" s="1" customFormat="1" hidden="1" x14ac:dyDescent="0.2">
      <c r="A13" s="640"/>
      <c r="B13" s="637"/>
      <c r="C13" s="638"/>
      <c r="D13" s="578"/>
      <c r="E13" s="641"/>
    </row>
    <row r="14" spans="1:6" s="1" customFormat="1" hidden="1" x14ac:dyDescent="0.2">
      <c r="A14" s="640"/>
      <c r="B14" s="637"/>
      <c r="C14" s="638"/>
      <c r="D14" s="578"/>
      <c r="E14" s="641"/>
    </row>
    <row r="15" spans="1:6" s="1" customFormat="1" hidden="1" x14ac:dyDescent="0.2">
      <c r="A15" s="640"/>
      <c r="B15" s="637"/>
      <c r="C15" s="638"/>
      <c r="D15" s="578"/>
      <c r="E15" s="641"/>
    </row>
    <row r="16" spans="1:6" s="1" customFormat="1" hidden="1" x14ac:dyDescent="0.2">
      <c r="A16" s="642"/>
      <c r="B16" s="577"/>
      <c r="C16" s="578"/>
      <c r="D16" s="578"/>
      <c r="E16" s="641"/>
    </row>
    <row r="17" spans="1:6" s="1" customFormat="1" hidden="1" x14ac:dyDescent="0.2">
      <c r="A17" s="642"/>
      <c r="B17" s="577"/>
      <c r="C17" s="578"/>
      <c r="D17" s="578"/>
      <c r="E17" s="641"/>
    </row>
    <row r="18" spans="1:6" s="1" customFormat="1" hidden="1" x14ac:dyDescent="0.2">
      <c r="A18" s="642"/>
      <c r="B18" s="577"/>
      <c r="C18" s="578"/>
      <c r="D18" s="578"/>
      <c r="E18" s="641"/>
    </row>
    <row r="19" spans="1:6" s="1" customFormat="1" hidden="1" x14ac:dyDescent="0.2">
      <c r="A19" s="642"/>
      <c r="B19" s="577"/>
      <c r="C19" s="578"/>
      <c r="D19" s="578"/>
      <c r="E19" s="641"/>
    </row>
    <row r="20" spans="1:6" s="1" customFormat="1" hidden="1" x14ac:dyDescent="0.2">
      <c r="A20" s="642"/>
      <c r="B20" s="577"/>
      <c r="C20" s="578"/>
      <c r="D20" s="578"/>
      <c r="E20" s="641"/>
    </row>
    <row r="21" spans="1:6" ht="34.5" customHeight="1" thickBot="1" x14ac:dyDescent="0.25">
      <c r="A21" s="643" t="s">
        <v>163</v>
      </c>
      <c r="B21" s="644">
        <f>SUM(B11:B20)</f>
        <v>44.730000000000004</v>
      </c>
      <c r="C21" s="645" t="str">
        <f>IF(SUBTOTAL(3,B16:B20)=SUBTOTAL(103,B16:B20),'Summary and sign-off '!$A$48,'Summary and sign-off '!$A$49)</f>
        <v>Check - there are no hidden rows with data</v>
      </c>
      <c r="D21" s="820" t="str">
        <f>IF('Summary and sign-off '!F58='Summary and sign-off '!F54,'Summary and sign-off '!A51,'Summary and sign-off '!A50)</f>
        <v>Check - each entry provides sufficient information</v>
      </c>
      <c r="E21" s="821"/>
      <c r="F21" s="1"/>
    </row>
    <row r="22" spans="1:6" ht="13.5" thickTop="1" x14ac:dyDescent="0.2">
      <c r="A22" s="19"/>
      <c r="B22" s="18"/>
      <c r="C22" s="18"/>
      <c r="D22" s="18"/>
      <c r="E22" s="18"/>
    </row>
    <row r="23" spans="1:6" x14ac:dyDescent="0.2">
      <c r="A23" s="19" t="s">
        <v>75</v>
      </c>
      <c r="B23" s="20"/>
      <c r="C23" s="18"/>
      <c r="D23" s="18"/>
      <c r="E23" s="18"/>
    </row>
    <row r="24" spans="1:6" ht="12.75" customHeight="1" x14ac:dyDescent="0.2">
      <c r="A24" s="21" t="s">
        <v>164</v>
      </c>
      <c r="B24" s="21"/>
      <c r="C24" s="21"/>
      <c r="D24" s="21"/>
      <c r="E24" s="21"/>
    </row>
    <row r="25" spans="1:6" x14ac:dyDescent="0.2">
      <c r="A25" s="21" t="s">
        <v>215</v>
      </c>
      <c r="B25" s="21"/>
      <c r="C25" s="29"/>
      <c r="D25" s="29"/>
      <c r="E25" s="29"/>
    </row>
    <row r="26" spans="1:6" x14ac:dyDescent="0.2">
      <c r="A26" s="21" t="s">
        <v>81</v>
      </c>
      <c r="B26" s="20"/>
      <c r="C26" s="18"/>
      <c r="D26" s="18"/>
      <c r="E26" s="18"/>
      <c r="F26" s="18"/>
    </row>
    <row r="27" spans="1:6" x14ac:dyDescent="0.2">
      <c r="A27" s="21" t="s">
        <v>166</v>
      </c>
      <c r="B27" s="21"/>
      <c r="C27" s="29"/>
      <c r="D27" s="29"/>
      <c r="E27" s="29"/>
    </row>
    <row r="28" spans="1:6" ht="12.75" customHeight="1" x14ac:dyDescent="0.2">
      <c r="A28" s="21" t="s">
        <v>167</v>
      </c>
      <c r="B28" s="21"/>
      <c r="C28" s="23"/>
      <c r="D28" s="23"/>
      <c r="E28" s="23"/>
    </row>
    <row r="29" spans="1:6" x14ac:dyDescent="0.2">
      <c r="A29" s="18"/>
      <c r="B29" s="18"/>
      <c r="C29" s="18"/>
      <c r="D29" s="18"/>
      <c r="E29" s="18"/>
    </row>
    <row r="32" spans="1:6" x14ac:dyDescent="0.2"/>
    <row r="33" x14ac:dyDescent="0.2"/>
    <row r="34" x14ac:dyDescent="0.2"/>
    <row r="35" x14ac:dyDescent="0.2"/>
    <row r="36" x14ac:dyDescent="0.2"/>
    <row r="3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sheetProtection formatCells="0" insertRows="0" deleteRows="0"/>
  <mergeCells count="10">
    <mergeCell ref="B7:E7"/>
    <mergeCell ref="A8:E8"/>
    <mergeCell ref="A9:E9"/>
    <mergeCell ref="D21:E21"/>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0" xr:uid="{8DFD0BBD-7091-4761-A8E2-C55D1009D03F}">
      <formula1>$B$4</formula1>
      <formula2>$B$5</formula2>
    </dataValidation>
    <dataValidation allowBlank="1" showInputMessage="1" showErrorMessage="1" prompt="Insert additional rows as needed:_x000a_- 'right click' on a row number (left of screen)_x000a_- select 'Insert' (this will insert a row above it)" sqref="A10:A15" xr:uid="{6D674E08-D3E6-4348-A5CB-8B0224422509}"/>
  </dataValidations>
  <pageMargins left="0.70866141732283472" right="0.70866141732283472" top="0.74803149606299213" bottom="0.74803149606299213" header="0.31496062992125984" footer="0.31496062992125984"/>
  <pageSetup paperSize="9" orientation="landscape" r:id="rId1"/>
  <headerFooter alignWithMargins="0">
    <oddFooter>&amp;LCE Expense Disclosure Workbook 2018&amp;RWorksheet - Summary and sign-off</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9A7E9E16-C676-4A05-A4CC-4A7D7D4DBA48}">
          <x14:formula1>
            <xm:f>'Summary and sign-off '!$A$29:$A$30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AFD24B79-D334-481D-B1D9-10B8399EE3A5}">
          <x14:formula1>
            <xm:f>'Summary and sign-off '!$A$27:$A$28</xm:f>
          </x14:formula1>
          <xm:sqref>B6:E6</xm:sqref>
        </x14:dataValidation>
        <x14:dataValidation type="decimal" operator="greaterThan" allowBlank="1" showInputMessage="1" showErrorMessage="1" error="This cell must contain a dollar figure" xr:uid="{FF866E9A-6965-401F-8B5D-95D5147EC406}">
          <x14:formula1>
            <xm:f>'Summary and sign-off '!$A$47</xm:f>
          </x14:formula1>
          <xm:sqref>B16:B20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0719-DB64-419A-A5CF-F64142CB93FA}">
  <sheetPr>
    <tabColor theme="3" tint="0.39997558519241921"/>
    <pageSetUpPr fitToPage="1"/>
  </sheetPr>
  <dimension ref="A1:M67"/>
  <sheetViews>
    <sheetView zoomScaleNormal="100" workbookViewId="0">
      <selection activeCell="C25" sqref="C25"/>
    </sheetView>
  </sheetViews>
  <sheetFormatPr defaultColWidth="0" defaultRowHeight="12.75" zeroHeight="1" x14ac:dyDescent="0.2"/>
  <cols>
    <col min="1" max="1" width="27.42578125" customWidth="1"/>
    <col min="2" max="2" width="14.28515625" customWidth="1"/>
    <col min="3" max="3" width="53" customWidth="1"/>
    <col min="4" max="4" width="28" customWidth="1"/>
    <col min="5" max="5" width="21.42578125" customWidth="1"/>
    <col min="6" max="6" width="29.7109375" customWidth="1"/>
    <col min="7" max="10" width="9.140625" hidden="1" customWidth="1"/>
    <col min="11" max="13" width="0" hidden="1" customWidth="1"/>
    <col min="14" max="16384" width="9.140625" hidden="1"/>
  </cols>
  <sheetData>
    <row r="1" spans="1:6" ht="26.25" customHeight="1" thickTop="1" x14ac:dyDescent="0.2">
      <c r="A1" s="790" t="s">
        <v>204</v>
      </c>
      <c r="B1" s="791"/>
      <c r="C1" s="791"/>
      <c r="D1" s="791"/>
      <c r="E1" s="792"/>
    </row>
    <row r="2" spans="1:6" ht="21" customHeight="1" x14ac:dyDescent="0.2">
      <c r="A2" s="606" t="s">
        <v>52</v>
      </c>
      <c r="B2" s="797" t="str">
        <f>'Summary and sign-off '!B2:F2</f>
        <v>Education New Zealand</v>
      </c>
      <c r="C2" s="797"/>
      <c r="D2" s="797"/>
      <c r="E2" s="798"/>
    </row>
    <row r="3" spans="1:6" ht="21" customHeight="1" x14ac:dyDescent="0.2">
      <c r="A3" s="606" t="s">
        <v>199</v>
      </c>
      <c r="B3" s="797" t="str">
        <f>'Summary and sign-off '!B3:F3</f>
        <v>Linda Sissons</v>
      </c>
      <c r="C3" s="797"/>
      <c r="D3" s="797"/>
      <c r="E3" s="798"/>
    </row>
    <row r="4" spans="1:6" ht="36" customHeight="1" x14ac:dyDescent="0.2">
      <c r="A4" s="606" t="s">
        <v>56</v>
      </c>
      <c r="B4" s="797">
        <f>'Summary and sign-off '!B4:F4</f>
        <v>45474</v>
      </c>
      <c r="C4" s="797"/>
      <c r="D4" s="797"/>
      <c r="E4" s="798"/>
    </row>
    <row r="5" spans="1:6" ht="33.75" customHeight="1" x14ac:dyDescent="0.2">
      <c r="A5" s="606" t="s">
        <v>57</v>
      </c>
      <c r="B5" s="797">
        <f>'Summary and sign-off '!B5:F5</f>
        <v>45562</v>
      </c>
      <c r="C5" s="797"/>
      <c r="D5" s="797"/>
      <c r="E5" s="798"/>
    </row>
    <row r="6" spans="1:6" ht="21" customHeight="1" x14ac:dyDescent="0.2">
      <c r="A6" s="606" t="s">
        <v>112</v>
      </c>
      <c r="B6" s="748" t="s">
        <v>83</v>
      </c>
      <c r="C6" s="748"/>
      <c r="D6" s="748"/>
      <c r="E6" s="789"/>
      <c r="F6" s="24"/>
    </row>
    <row r="7" spans="1:6" ht="21" customHeight="1" x14ac:dyDescent="0.2">
      <c r="A7" s="639" t="s">
        <v>58</v>
      </c>
      <c r="B7" s="812" t="s">
        <v>85</v>
      </c>
      <c r="C7" s="812"/>
      <c r="D7" s="812"/>
      <c r="E7" s="813"/>
      <c r="F7" s="24"/>
    </row>
    <row r="8" spans="1:6" ht="35.25" customHeight="1" x14ac:dyDescent="0.2">
      <c r="A8" s="822" t="s">
        <v>168</v>
      </c>
      <c r="B8" s="823"/>
      <c r="C8" s="816"/>
      <c r="D8" s="816"/>
      <c r="E8" s="817"/>
    </row>
    <row r="9" spans="1:6" ht="35.25" customHeight="1" thickBot="1" x14ac:dyDescent="0.25">
      <c r="A9" s="824" t="s">
        <v>2276</v>
      </c>
      <c r="B9" s="746"/>
      <c r="C9" s="746"/>
      <c r="D9" s="746"/>
      <c r="E9" s="825"/>
    </row>
    <row r="10" spans="1:6" ht="39" thickTop="1" x14ac:dyDescent="0.2">
      <c r="A10" s="707" t="s">
        <v>116</v>
      </c>
      <c r="B10" s="718" t="s">
        <v>64</v>
      </c>
      <c r="C10" s="718" t="s">
        <v>216</v>
      </c>
      <c r="D10" s="718" t="s">
        <v>217</v>
      </c>
      <c r="E10" s="719" t="s">
        <v>119</v>
      </c>
      <c r="F10" s="21"/>
    </row>
    <row r="11" spans="1:6" x14ac:dyDescent="0.2">
      <c r="A11" s="713"/>
      <c r="B11" s="720"/>
      <c r="C11" s="721" t="s">
        <v>2294</v>
      </c>
      <c r="D11" s="722"/>
      <c r="E11" s="722"/>
      <c r="F11" s="552"/>
    </row>
    <row r="12" spans="1:6" s="1" customFormat="1" x14ac:dyDescent="0.2">
      <c r="A12" s="713"/>
      <c r="B12" s="720"/>
      <c r="C12" s="721"/>
      <c r="D12" s="722"/>
      <c r="E12" s="722"/>
    </row>
    <row r="13" spans="1:6" s="1" customFormat="1" x14ac:dyDescent="0.2">
      <c r="A13" s="717"/>
      <c r="B13" s="720"/>
      <c r="C13" s="722"/>
      <c r="D13" s="722"/>
      <c r="E13" s="722"/>
    </row>
    <row r="14" spans="1:6" s="1" customFormat="1" x14ac:dyDescent="0.2">
      <c r="A14" s="717"/>
      <c r="B14" s="720"/>
      <c r="C14" s="722"/>
      <c r="D14" s="722"/>
      <c r="E14" s="722"/>
    </row>
    <row r="15" spans="1:6" s="1" customFormat="1" x14ac:dyDescent="0.2">
      <c r="A15" s="723"/>
      <c r="B15" s="724"/>
      <c r="C15" s="722"/>
      <c r="D15" s="722"/>
      <c r="E15" s="722"/>
    </row>
    <row r="16" spans="1:6" s="1" customFormat="1" x14ac:dyDescent="0.2">
      <c r="A16" s="717"/>
      <c r="B16" s="720"/>
      <c r="C16" s="722"/>
      <c r="D16" s="722"/>
      <c r="E16" s="722"/>
    </row>
    <row r="17" spans="1:6" s="1" customFormat="1" x14ac:dyDescent="0.2">
      <c r="A17" s="717"/>
      <c r="B17" s="720"/>
      <c r="C17" s="722"/>
      <c r="D17" s="722"/>
      <c r="E17" s="722"/>
    </row>
    <row r="18" spans="1:6" ht="34.5" customHeight="1" thickBot="1" x14ac:dyDescent="0.25">
      <c r="A18" s="646" t="s">
        <v>179</v>
      </c>
      <c r="B18" s="644">
        <f>SUM(B11:B17)</f>
        <v>0</v>
      </c>
      <c r="C18" s="645" t="str">
        <f>IF(SUBTOTAL(3,B17:B17)=SUBTOTAL(103,B17:B17),'Summary and sign-off '!$A$48,'Summary and sign-off '!$A$49)</f>
        <v>Check - there are no hidden rows with data</v>
      </c>
      <c r="D18" s="820" t="str">
        <f>IF('Summary and sign-off '!F59='Summary and sign-off '!F54,'Summary and sign-off '!A51,'Summary and sign-off '!A50)</f>
        <v>Check - each entry provides sufficient information</v>
      </c>
      <c r="E18" s="821"/>
    </row>
    <row r="19" spans="1:6" ht="14.1" customHeight="1" thickTop="1" x14ac:dyDescent="0.2">
      <c r="B19" s="18"/>
      <c r="C19" s="18"/>
      <c r="D19" s="18"/>
      <c r="E19" s="18"/>
    </row>
    <row r="20" spans="1:6" x14ac:dyDescent="0.2">
      <c r="A20" s="19" t="s">
        <v>180</v>
      </c>
      <c r="B20" s="18"/>
      <c r="C20" s="18"/>
      <c r="D20" s="18"/>
      <c r="E20" s="18"/>
    </row>
    <row r="21" spans="1:6" ht="12.6" customHeight="1" x14ac:dyDescent="0.2">
      <c r="A21" s="21" t="s">
        <v>211</v>
      </c>
      <c r="B21" s="18"/>
      <c r="C21" s="18"/>
      <c r="D21" s="18"/>
      <c r="E21" s="18"/>
    </row>
    <row r="22" spans="1:6" x14ac:dyDescent="0.2">
      <c r="A22" s="21" t="s">
        <v>81</v>
      </c>
      <c r="B22" s="20"/>
      <c r="C22" s="18"/>
      <c r="D22" s="18"/>
      <c r="E22" s="18"/>
      <c r="F22" s="18"/>
    </row>
    <row r="23" spans="1:6" x14ac:dyDescent="0.2">
      <c r="A23" s="21" t="s">
        <v>166</v>
      </c>
      <c r="C23" s="18"/>
      <c r="D23" s="18"/>
      <c r="E23" s="18"/>
      <c r="F23" s="18"/>
    </row>
    <row r="24" spans="1:6" ht="12.75" customHeight="1" x14ac:dyDescent="0.2">
      <c r="A24" s="21" t="s">
        <v>167</v>
      </c>
      <c r="B24" s="26"/>
      <c r="C24" s="23"/>
      <c r="D24" s="23"/>
      <c r="E24" s="23"/>
      <c r="F24" s="23"/>
    </row>
    <row r="25" spans="1:6" x14ac:dyDescent="0.2">
      <c r="B25" s="27"/>
      <c r="C25" s="18"/>
      <c r="D25" s="18"/>
      <c r="E25" s="18"/>
    </row>
    <row r="26" spans="1:6" hidden="1" x14ac:dyDescent="0.2">
      <c r="A26" s="18"/>
      <c r="B26" s="18"/>
      <c r="C26" s="18"/>
      <c r="D26" s="18"/>
    </row>
    <row r="27" spans="1:6" ht="12.75" hidden="1" customHeight="1" x14ac:dyDescent="0.2"/>
    <row r="28" spans="1:6" hidden="1" x14ac:dyDescent="0.2">
      <c r="A28" s="18"/>
      <c r="B28" s="18"/>
      <c r="C28" s="18"/>
      <c r="D28" s="18"/>
      <c r="E28" s="18"/>
    </row>
    <row r="29" spans="1:6" hidden="1" x14ac:dyDescent="0.2">
      <c r="A29" s="18"/>
      <c r="B29" s="18"/>
      <c r="C29" s="18"/>
      <c r="D29" s="18"/>
      <c r="E29" s="18"/>
    </row>
    <row r="30" spans="1:6" hidden="1" x14ac:dyDescent="0.2">
      <c r="A30" s="18"/>
      <c r="B30" s="18"/>
      <c r="C30" s="18"/>
      <c r="D30" s="18"/>
      <c r="E30" s="18"/>
    </row>
    <row r="31" spans="1:6" hidden="1" x14ac:dyDescent="0.2">
      <c r="A31" s="18"/>
      <c r="B31" s="18"/>
      <c r="C31" s="18"/>
      <c r="D31" s="18"/>
      <c r="E31" s="18"/>
    </row>
    <row r="32" spans="1:6" hidden="1" x14ac:dyDescent="0.2">
      <c r="A32" s="18"/>
      <c r="B32" s="18"/>
      <c r="C32" s="18"/>
      <c r="D32" s="18"/>
      <c r="E32" s="18"/>
    </row>
    <row r="33"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formatCells="0" insertRows="0" deleteRows="0"/>
  <mergeCells count="10">
    <mergeCell ref="B7:E7"/>
    <mergeCell ref="A8:E8"/>
    <mergeCell ref="A9:E9"/>
    <mergeCell ref="D18:E18"/>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 xr:uid="{10748B7E-AC3C-487A-8390-85E18DDC5CD7}">
      <formula1>$B$4</formula1>
      <formula2>$B$5</formula2>
    </dataValidation>
    <dataValidation allowBlank="1" showInputMessage="1" showErrorMessage="1" prompt="Insert additional rows as needed:_x000a_- 'right click' on a row number (left of screen)_x000a_- select 'Insert' (this will insert a row above it)" sqref="A10:A11 A13:A16" xr:uid="{04655299-EDBA-4033-8071-262ACBC1A0DD}"/>
  </dataValidations>
  <pageMargins left="0.70866141732283472" right="0.70866141732283472" top="0.74803149606299213" bottom="0.74803149606299213" header="0.31496062992125984" footer="0.31496062992125984"/>
  <pageSetup paperSize="9" scale="95"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8BE8161C-1CDD-45A2-B90C-3989835C2132}">
          <x14:formula1>
            <xm:f>'Summary and sign-off '!$A$29:$A$30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40B524B5-EBB2-4967-B8DB-1A52FB890163}">
          <x14:formula1>
            <xm:f>'Summary and sign-off '!$A$27:$A$28</xm:f>
          </x14:formula1>
          <xm:sqref>B6:E6</xm:sqref>
        </x14:dataValidation>
        <x14:dataValidation type="decimal" operator="greaterThan" allowBlank="1" showInputMessage="1" showErrorMessage="1" error="This cell must contain a dollar figure" xr:uid="{A82F5833-8196-4B4D-8F86-8C07E1399F4D}">
          <x14:formula1>
            <xm:f>'Summary and sign-off '!$A$47</xm:f>
          </x14:formula1>
          <xm:sqref>B17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54CA-E20C-42FE-9537-6110B44BFC6A}">
  <sheetPr>
    <tabColor theme="3" tint="0.39997558519241921"/>
    <pageSetUpPr fitToPage="1"/>
  </sheetPr>
  <dimension ref="A1:J80"/>
  <sheetViews>
    <sheetView topLeftCell="A9" zoomScaleNormal="100" workbookViewId="0">
      <selection activeCell="G27" sqref="G27"/>
    </sheetView>
  </sheetViews>
  <sheetFormatPr defaultColWidth="0" defaultRowHeight="12.75" zeroHeight="1" x14ac:dyDescent="0.2"/>
  <cols>
    <col min="1" max="1" width="29.5703125" customWidth="1"/>
    <col min="2" max="2" width="42.7109375" customWidth="1"/>
    <col min="3" max="3" width="23" customWidth="1"/>
    <col min="4" max="4" width="23.5703125" customWidth="1"/>
    <col min="5" max="5" width="24.85546875" customWidth="1"/>
    <col min="6" max="6" width="31" customWidth="1"/>
    <col min="7" max="7" width="38" customWidth="1"/>
    <col min="8" max="10" width="9.140625" hidden="1" customWidth="1"/>
    <col min="11" max="15" width="0" hidden="1" customWidth="1"/>
  </cols>
  <sheetData>
    <row r="1" spans="1:7" ht="26.25" customHeight="1" thickTop="1" x14ac:dyDescent="0.2">
      <c r="A1" s="790" t="s">
        <v>218</v>
      </c>
      <c r="B1" s="791"/>
      <c r="C1" s="791"/>
      <c r="D1" s="791"/>
      <c r="E1" s="791"/>
      <c r="F1" s="792"/>
    </row>
    <row r="2" spans="1:7" ht="21" customHeight="1" x14ac:dyDescent="0.2">
      <c r="A2" s="606" t="s">
        <v>52</v>
      </c>
      <c r="B2" s="797" t="str">
        <f>'Summary and sign-off '!B2:F2</f>
        <v>Education New Zealand</v>
      </c>
      <c r="C2" s="797"/>
      <c r="D2" s="797"/>
      <c r="E2" s="797"/>
      <c r="F2" s="798"/>
    </row>
    <row r="3" spans="1:7" ht="21" customHeight="1" x14ac:dyDescent="0.2">
      <c r="A3" s="606" t="s">
        <v>199</v>
      </c>
      <c r="B3" s="797" t="s">
        <v>200</v>
      </c>
      <c r="C3" s="797"/>
      <c r="D3" s="797"/>
      <c r="E3" s="797"/>
      <c r="F3" s="798"/>
    </row>
    <row r="4" spans="1:7" ht="21" customHeight="1" x14ac:dyDescent="0.2">
      <c r="A4" s="606" t="s">
        <v>56</v>
      </c>
      <c r="B4" s="797">
        <v>45474</v>
      </c>
      <c r="C4" s="797"/>
      <c r="D4" s="797"/>
      <c r="E4" s="797"/>
      <c r="F4" s="798"/>
    </row>
    <row r="5" spans="1:7" ht="21" customHeight="1" x14ac:dyDescent="0.2">
      <c r="A5" s="606" t="s">
        <v>57</v>
      </c>
      <c r="B5" s="797">
        <v>45576</v>
      </c>
      <c r="C5" s="797"/>
      <c r="D5" s="797"/>
      <c r="E5" s="797"/>
      <c r="F5" s="798"/>
    </row>
    <row r="6" spans="1:7" ht="21" customHeight="1" x14ac:dyDescent="0.2">
      <c r="A6" s="606" t="s">
        <v>182</v>
      </c>
      <c r="B6" s="748" t="s">
        <v>83</v>
      </c>
      <c r="C6" s="748"/>
      <c r="D6" s="748"/>
      <c r="E6" s="748"/>
      <c r="F6" s="789"/>
    </row>
    <row r="7" spans="1:7" ht="21" customHeight="1" x14ac:dyDescent="0.2">
      <c r="A7" s="606" t="s">
        <v>58</v>
      </c>
      <c r="B7" s="799" t="s">
        <v>85</v>
      </c>
      <c r="C7" s="799"/>
      <c r="D7" s="799"/>
      <c r="E7" s="799"/>
      <c r="F7" s="800"/>
    </row>
    <row r="8" spans="1:7" ht="36" customHeight="1" x14ac:dyDescent="0.2">
      <c r="A8" s="822" t="s">
        <v>183</v>
      </c>
      <c r="B8" s="823"/>
      <c r="C8" s="823"/>
      <c r="D8" s="823"/>
      <c r="E8" s="823"/>
      <c r="F8" s="826"/>
    </row>
    <row r="9" spans="1:7" ht="36" customHeight="1" thickBot="1" x14ac:dyDescent="0.25">
      <c r="A9" s="824" t="s">
        <v>2277</v>
      </c>
      <c r="B9" s="746"/>
      <c r="C9" s="746"/>
      <c r="D9" s="746"/>
      <c r="E9" s="746"/>
      <c r="F9" s="825"/>
    </row>
    <row r="10" spans="1:7" ht="69.75" customHeight="1" thickTop="1" x14ac:dyDescent="0.2">
      <c r="A10" s="707" t="s">
        <v>116</v>
      </c>
      <c r="B10" s="708" t="s">
        <v>219</v>
      </c>
      <c r="C10" s="708" t="s">
        <v>220</v>
      </c>
      <c r="D10" s="708" t="s">
        <v>221</v>
      </c>
      <c r="E10" s="708" t="s">
        <v>222</v>
      </c>
      <c r="F10" s="709" t="s">
        <v>223</v>
      </c>
    </row>
    <row r="11" spans="1:7" s="1" customFormat="1" x14ac:dyDescent="0.2">
      <c r="A11" s="713">
        <v>45531</v>
      </c>
      <c r="B11" s="714" t="s">
        <v>2291</v>
      </c>
      <c r="C11" s="715" t="s">
        <v>98</v>
      </c>
      <c r="D11" s="714" t="s">
        <v>2290</v>
      </c>
      <c r="E11" s="716" t="s">
        <v>93</v>
      </c>
      <c r="F11" s="714"/>
    </row>
    <row r="12" spans="1:7" s="1" customFormat="1" hidden="1" x14ac:dyDescent="0.2">
      <c r="A12" s="717"/>
      <c r="B12" s="714"/>
      <c r="C12" s="715"/>
      <c r="D12" s="714"/>
      <c r="E12" s="716"/>
      <c r="F12" s="714"/>
    </row>
    <row r="13" spans="1:7" s="1" customFormat="1" hidden="1" x14ac:dyDescent="0.2">
      <c r="A13" s="717"/>
      <c r="B13" s="714"/>
      <c r="C13" s="715"/>
      <c r="D13" s="714"/>
      <c r="E13" s="716"/>
      <c r="F13" s="714"/>
    </row>
    <row r="14" spans="1:7" s="1" customFormat="1" hidden="1" x14ac:dyDescent="0.2">
      <c r="A14" s="717"/>
      <c r="B14" s="714"/>
      <c r="C14" s="715"/>
      <c r="D14" s="714"/>
      <c r="E14" s="716"/>
      <c r="F14" s="714"/>
    </row>
    <row r="15" spans="1:7" s="1" customFormat="1" hidden="1" x14ac:dyDescent="0.2">
      <c r="A15" s="713"/>
      <c r="B15" s="714"/>
      <c r="C15" s="715"/>
      <c r="D15" s="714"/>
      <c r="E15" s="716"/>
      <c r="F15" s="714"/>
    </row>
    <row r="16" spans="1:7" ht="34.5" customHeight="1" thickBot="1" x14ac:dyDescent="0.25">
      <c r="A16" s="647" t="s">
        <v>190</v>
      </c>
      <c r="B16" s="710" t="s">
        <v>191</v>
      </c>
      <c r="C16" s="711">
        <v>1</v>
      </c>
      <c r="D16" s="712" t="str">
        <f>IF(SUBTOTAL(3,C11:C15)=SUBTOTAL(103,C11:C15),'Summary and sign-off '!$A$48,'Summary and sign-off '!$A$49)</f>
        <v>Check - there are no hidden rows with data</v>
      </c>
      <c r="E16" s="820" t="str">
        <f>IF('Summary and sign-off '!F60='Summary and sign-off '!F54,'Summary and sign-off '!A52,'Summary and sign-off '!A50)</f>
        <v>Check - each entry provides sufficient information</v>
      </c>
      <c r="F16" s="821"/>
      <c r="G16" s="1"/>
    </row>
    <row r="17" spans="1:6" ht="25.5" customHeight="1" thickTop="1" x14ac:dyDescent="0.25">
      <c r="A17" s="648"/>
      <c r="B17" s="60" t="s">
        <v>98</v>
      </c>
      <c r="C17" s="61">
        <v>1</v>
      </c>
      <c r="D17" s="15"/>
      <c r="E17" s="16"/>
      <c r="F17" s="649"/>
    </row>
    <row r="18" spans="1:6" ht="25.5" customHeight="1" thickBot="1" x14ac:dyDescent="0.3">
      <c r="A18" s="650"/>
      <c r="B18" s="651" t="s">
        <v>99</v>
      </c>
      <c r="C18" s="652">
        <f>COUNTIF(C11:C15,'Summary and sign-off '!A46)</f>
        <v>0</v>
      </c>
      <c r="D18" s="653"/>
      <c r="E18" s="654"/>
      <c r="F18" s="655"/>
    </row>
    <row r="19" spans="1:6" ht="13.5" thickTop="1" x14ac:dyDescent="0.2">
      <c r="A19" s="18"/>
      <c r="B19" s="19"/>
      <c r="C19" s="18"/>
      <c r="D19" s="20"/>
      <c r="E19" s="20"/>
      <c r="F19" s="18"/>
    </row>
    <row r="20" spans="1:6" x14ac:dyDescent="0.2">
      <c r="A20" s="19" t="s">
        <v>180</v>
      </c>
      <c r="B20" s="19"/>
      <c r="C20" s="19"/>
      <c r="D20" s="19"/>
      <c r="E20" s="19"/>
      <c r="F20" s="19"/>
    </row>
    <row r="21" spans="1:6" x14ac:dyDescent="0.2">
      <c r="A21" s="19"/>
      <c r="B21" s="19"/>
      <c r="C21" s="19"/>
      <c r="D21" s="19"/>
      <c r="E21" s="19"/>
      <c r="F21" s="19"/>
    </row>
    <row r="22" spans="1:6" ht="12.6" customHeight="1" x14ac:dyDescent="0.2">
      <c r="A22" s="21" t="s">
        <v>211</v>
      </c>
      <c r="B22" s="18"/>
      <c r="C22" s="18"/>
      <c r="D22" s="18"/>
      <c r="E22" s="18"/>
    </row>
    <row r="23" spans="1:6" x14ac:dyDescent="0.2">
      <c r="A23" s="21" t="s">
        <v>81</v>
      </c>
      <c r="B23" s="20"/>
      <c r="C23" s="18"/>
      <c r="D23" s="18"/>
      <c r="E23" s="18"/>
      <c r="F23" s="18"/>
    </row>
    <row r="24" spans="1:6" x14ac:dyDescent="0.2">
      <c r="A24" s="21" t="s">
        <v>192</v>
      </c>
      <c r="B24" s="22"/>
      <c r="C24" s="22"/>
      <c r="D24" s="22"/>
      <c r="E24" s="22"/>
      <c r="F24" s="22"/>
    </row>
    <row r="25" spans="1:6" ht="12.75" customHeight="1" x14ac:dyDescent="0.2">
      <c r="A25" s="21" t="s">
        <v>193</v>
      </c>
      <c r="B25" s="18"/>
      <c r="C25" s="18"/>
      <c r="D25" s="18"/>
      <c r="E25" s="18"/>
      <c r="F25" s="18"/>
    </row>
    <row r="26" spans="1:6" ht="12.95" customHeight="1" x14ac:dyDescent="0.2">
      <c r="A26" s="21" t="s">
        <v>194</v>
      </c>
      <c r="B26" s="18"/>
      <c r="C26" s="18"/>
      <c r="D26" s="18"/>
      <c r="E26" s="18"/>
      <c r="F26" s="18"/>
    </row>
    <row r="27" spans="1:6" x14ac:dyDescent="0.2">
      <c r="A27" s="21" t="s">
        <v>195</v>
      </c>
      <c r="C27" s="18"/>
      <c r="D27" s="18"/>
      <c r="E27" s="18"/>
      <c r="F27" s="18"/>
    </row>
    <row r="28" spans="1:6" ht="12.75" customHeight="1" x14ac:dyDescent="0.2">
      <c r="A28" s="21" t="s">
        <v>167</v>
      </c>
      <c r="B28" s="21"/>
      <c r="C28" s="23"/>
      <c r="D28" s="23"/>
      <c r="E28" s="23"/>
      <c r="F28" s="23"/>
    </row>
    <row r="29" spans="1:6" ht="12.75" customHeight="1" x14ac:dyDescent="0.2">
      <c r="A29" s="21"/>
      <c r="B29" s="21"/>
      <c r="C29" s="23"/>
      <c r="D29" s="23"/>
      <c r="E29" s="23"/>
      <c r="F29" s="23"/>
    </row>
    <row r="30" spans="1:6" ht="12.75" customHeight="1" x14ac:dyDescent="0.2">
      <c r="A30" s="21"/>
      <c r="B30" s="21"/>
      <c r="C30" s="23"/>
      <c r="D30" s="23"/>
      <c r="E30" s="23"/>
      <c r="F30" s="23"/>
    </row>
    <row r="31" spans="1:6" x14ac:dyDescent="0.2"/>
    <row r="32" spans="1:6" x14ac:dyDescent="0.2">
      <c r="A32" s="22"/>
      <c r="B32" s="22"/>
      <c r="C32" s="22"/>
    </row>
    <row r="33" spans="1:6" x14ac:dyDescent="0.2">
      <c r="A33" s="19"/>
      <c r="B33" s="19"/>
      <c r="C33" s="19"/>
      <c r="D33" s="19"/>
      <c r="E33" s="19"/>
      <c r="F33" s="19"/>
    </row>
    <row r="34" spans="1:6" x14ac:dyDescent="0.2">
      <c r="A34" s="19"/>
      <c r="B34" s="19"/>
      <c r="C34" s="19"/>
      <c r="D34" s="19"/>
      <c r="E34" s="19"/>
      <c r="F34" s="19"/>
    </row>
    <row r="35" spans="1:6" x14ac:dyDescent="0.2">
      <c r="A35" s="19"/>
      <c r="B35" s="19"/>
      <c r="C35" s="19"/>
      <c r="D35" s="19"/>
      <c r="E35" s="19"/>
      <c r="F35" s="19"/>
    </row>
    <row r="36" spans="1:6" x14ac:dyDescent="0.2">
      <c r="A36" s="19"/>
      <c r="B36" s="19"/>
      <c r="C36" s="19"/>
      <c r="D36" s="19"/>
      <c r="E36" s="19"/>
      <c r="F36" s="19"/>
    </row>
    <row r="37" spans="1:6" x14ac:dyDescent="0.2">
      <c r="A37" s="19"/>
      <c r="B37" s="19"/>
      <c r="C37" s="19"/>
      <c r="D37" s="19"/>
      <c r="E37" s="19"/>
      <c r="F37" s="19"/>
    </row>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sheetData>
  <sheetProtection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5" xr:uid="{A553559F-807B-40F6-B608-40768CB9A8DD}">
      <formula1>$B$4</formula1>
      <formula2>$B$5</formula2>
    </dataValidation>
    <dataValidation allowBlank="1" showInputMessage="1" showErrorMessage="1" prompt="Insert additional rows as needed:_x000a_- 'right click' on a row number (left of screen)_x000a_- select 'Insert' (this will insert a row above it)" sqref="A10" xr:uid="{65907D43-5790-432E-AA77-33F2AC51DA0D}"/>
  </dataValidations>
  <printOptions gridLines="1"/>
  <pageMargins left="0.70866141732283472" right="0.70866141732283472" top="0.74803149606299213" bottom="0.74803149606299213" header="0.31496062992125984" footer="0.31496062992125984"/>
  <pageSetup paperSize="9" scale="7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errorStyle="information" operator="greaterThan" allowBlank="1" showInputMessage="1" prompt="Provide specific $ value if possible" xr:uid="{25B9C5AF-E531-4903-91A8-4AA937B06AF1}">
          <x14:formula1>
            <xm:f>'Summary and sign-off '!$A$39:$A$44</xm:f>
          </x14:formula1>
          <xm:sqref>E11:E15</xm:sqref>
        </x14:dataValidation>
        <x14:dataValidation type="list" allowBlank="1" showInputMessage="1" showErrorMessage="1" error="Use the drop down list (at the right of the cell)" xr:uid="{738FC681-C254-4F34-BE66-F29B2A9CBD62}">
          <x14:formula1>
            <xm:f>'Summary and sign-off '!$A$45:$A$46</xm:f>
          </x14:formula1>
          <xm:sqref>C11:C15</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E8EE1A71-3B04-4E60-86E2-4D5AE3A3E6F2}">
          <x14:formula1>
            <xm:f>'Summary and sign-off '!$A$29:$A$30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EA904207-9EFC-4714-81FC-C72856630740}">
          <x14:formula1>
            <xm:f>'Summary and sign-off '!$A$27:$A$28</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4057C-D878-42D8-8C52-06A5FE48CEE1}">
  <sheetPr>
    <tabColor theme="7"/>
    <pageSetUpPr fitToPage="1"/>
  </sheetPr>
  <dimension ref="A8:J63"/>
  <sheetViews>
    <sheetView zoomScaleNormal="100" workbookViewId="0">
      <selection activeCell="G31" sqref="G31"/>
    </sheetView>
  </sheetViews>
  <sheetFormatPr defaultRowHeight="12.75" x14ac:dyDescent="0.2"/>
  <cols>
    <col min="1" max="1" width="25.140625" customWidth="1"/>
    <col min="2" max="2" width="20.140625" customWidth="1"/>
    <col min="3" max="3" width="21.42578125" customWidth="1"/>
    <col min="4" max="4" width="20.85546875" customWidth="1"/>
    <col min="5" max="5" width="20.42578125" customWidth="1"/>
    <col min="6" max="6" width="25.28515625" customWidth="1"/>
    <col min="7" max="7" width="23.85546875" customWidth="1"/>
    <col min="8" max="8" width="15.7109375" bestFit="1" customWidth="1"/>
    <col min="9" max="9" width="13.5703125" customWidth="1"/>
    <col min="10" max="10" width="53.140625" bestFit="1" customWidth="1"/>
  </cols>
  <sheetData>
    <row r="8" spans="1:10" ht="15" customHeight="1" x14ac:dyDescent="0.25">
      <c r="A8" s="119" t="s">
        <v>224</v>
      </c>
      <c r="B8" s="120"/>
      <c r="C8" s="120"/>
      <c r="D8" s="120"/>
      <c r="E8" s="120"/>
      <c r="F8" s="120"/>
      <c r="G8" s="120"/>
      <c r="H8" s="120"/>
      <c r="I8" s="120"/>
      <c r="J8" s="120"/>
    </row>
    <row r="9" spans="1:10" ht="15.75" x14ac:dyDescent="0.25">
      <c r="A9" s="121" t="s">
        <v>225</v>
      </c>
      <c r="B9" s="120"/>
      <c r="C9" s="120"/>
      <c r="D9" s="120"/>
      <c r="E9" s="120"/>
      <c r="F9" s="120"/>
      <c r="G9" s="120"/>
      <c r="H9" s="120"/>
      <c r="I9" s="120"/>
      <c r="J9" s="120"/>
    </row>
    <row r="10" spans="1:10" x14ac:dyDescent="0.2">
      <c r="A10" s="120"/>
      <c r="B10" s="120"/>
      <c r="C10" s="120"/>
      <c r="D10" s="120"/>
      <c r="E10" s="120"/>
      <c r="F10" s="120"/>
      <c r="G10" s="120"/>
      <c r="H10" s="120"/>
      <c r="I10" s="120"/>
      <c r="J10" s="120"/>
    </row>
    <row r="11" spans="1:10" x14ac:dyDescent="0.2">
      <c r="A11" s="120"/>
      <c r="B11" s="120"/>
      <c r="C11" s="120"/>
      <c r="D11" s="120"/>
      <c r="E11" s="120"/>
      <c r="F11" s="120"/>
      <c r="G11" s="120"/>
      <c r="H11" s="287" t="s">
        <v>226</v>
      </c>
      <c r="I11" s="287"/>
      <c r="J11" s="287"/>
    </row>
    <row r="12" spans="1:10" ht="15" x14ac:dyDescent="0.25">
      <c r="A12" s="122" t="s">
        <v>227</v>
      </c>
      <c r="B12" s="120"/>
      <c r="C12" s="120"/>
      <c r="D12" s="120"/>
      <c r="E12" s="120"/>
      <c r="F12" s="120"/>
      <c r="G12" s="120"/>
      <c r="H12" s="120"/>
      <c r="I12" s="120"/>
      <c r="J12" s="120"/>
    </row>
    <row r="13" spans="1:10" ht="24" x14ac:dyDescent="0.2">
      <c r="A13" s="123" t="s">
        <v>228</v>
      </c>
      <c r="B13" s="123" t="s">
        <v>229</v>
      </c>
      <c r="C13" s="123" t="s">
        <v>230</v>
      </c>
      <c r="D13" s="123" t="s">
        <v>231</v>
      </c>
      <c r="E13" s="123" t="s">
        <v>232</v>
      </c>
      <c r="F13" s="124" t="s">
        <v>233</v>
      </c>
      <c r="G13" s="123" t="s">
        <v>234</v>
      </c>
      <c r="H13" s="124" t="s">
        <v>235</v>
      </c>
      <c r="I13" s="124" t="s">
        <v>236</v>
      </c>
      <c r="J13" s="123" t="s">
        <v>237</v>
      </c>
    </row>
    <row r="14" spans="1:10" x14ac:dyDescent="0.2">
      <c r="A14" s="136" t="s">
        <v>238</v>
      </c>
      <c r="B14" s="139">
        <f>'GL Nov-Mar 20'!L49+'GL Nov-Mar 20'!L225</f>
        <v>436.36</v>
      </c>
      <c r="C14" s="353">
        <f>'Orbit Nov-Mar 20'!L12</f>
        <v>196.05</v>
      </c>
      <c r="D14" s="126"/>
      <c r="E14" s="126"/>
      <c r="F14" s="354"/>
      <c r="G14" s="150">
        <f>SUM(C14:F14)-B14</f>
        <v>-240.31</v>
      </c>
      <c r="H14" s="150">
        <f t="shared" ref="H14:H20" si="0">G14</f>
        <v>-240.31</v>
      </c>
      <c r="I14" s="355" t="s">
        <v>239</v>
      </c>
      <c r="J14" s="356" t="s">
        <v>240</v>
      </c>
    </row>
    <row r="15" spans="1:10" x14ac:dyDescent="0.2">
      <c r="A15" s="129" t="s">
        <v>241</v>
      </c>
      <c r="B15" s="130">
        <f>'GL Nov-Mar 20'!L80+'GL Nov-Mar 20'!L238</f>
        <v>1669.5699999999993</v>
      </c>
      <c r="C15" s="131">
        <f>'Orbit Nov-Mar 20'!L19</f>
        <v>402.8599999999999</v>
      </c>
      <c r="D15" s="132"/>
      <c r="E15" s="132"/>
      <c r="F15" s="133"/>
      <c r="G15" s="352">
        <f>SUM(C15:F15)-B15</f>
        <v>-1266.7099999999994</v>
      </c>
      <c r="H15" s="150">
        <f t="shared" si="0"/>
        <v>-1266.7099999999994</v>
      </c>
      <c r="I15" s="263" t="s">
        <v>239</v>
      </c>
      <c r="J15" s="134" t="s">
        <v>242</v>
      </c>
    </row>
    <row r="16" spans="1:10" x14ac:dyDescent="0.2">
      <c r="A16" s="136" t="s">
        <v>243</v>
      </c>
      <c r="B16" s="137">
        <f>'GL Nov-Mar 20'!L112+'GL Nov-Mar 20'!L302</f>
        <v>4589.6399999999994</v>
      </c>
      <c r="C16" s="138"/>
      <c r="D16" s="138"/>
      <c r="E16" s="138">
        <f>'P-Card Oct-Mar 20'!J7+'P-Card Oct-Mar 20'!J12+'P-Card Oct-Mar 20'!J14+'P-Card Oct-Mar 20'!J15+'P-Card Oct-Mar 20'!J18+'P-Card Oct-Mar 20'!J19</f>
        <v>816.86</v>
      </c>
      <c r="F16" s="139"/>
      <c r="G16" s="137">
        <f>SUM(C16:F16)-B16</f>
        <v>-3772.7799999999993</v>
      </c>
      <c r="H16" s="140">
        <f t="shared" si="0"/>
        <v>-3772.7799999999993</v>
      </c>
      <c r="I16" s="141" t="s">
        <v>239</v>
      </c>
      <c r="J16" s="142" t="s">
        <v>244</v>
      </c>
    </row>
    <row r="17" spans="1:10" x14ac:dyDescent="0.2">
      <c r="A17" s="129" t="s">
        <v>245</v>
      </c>
      <c r="B17" s="143">
        <f>'GL Nov-Mar 20'!L137+'GL Nov-Mar 20'!L322</f>
        <v>514.64</v>
      </c>
      <c r="C17" s="144"/>
      <c r="D17" s="144">
        <f>'Taxicharge Nov-Mar 20'!J4</f>
        <v>53.19</v>
      </c>
      <c r="E17" s="144">
        <v>0</v>
      </c>
      <c r="F17" s="130"/>
      <c r="G17" s="143">
        <f>SUM(C17:F17)-B17</f>
        <v>-461.45</v>
      </c>
      <c r="H17" s="145">
        <f t="shared" si="0"/>
        <v>-461.45</v>
      </c>
      <c r="I17" s="146" t="s">
        <v>239</v>
      </c>
      <c r="J17" s="135" t="s">
        <v>246</v>
      </c>
    </row>
    <row r="18" spans="1:10" x14ac:dyDescent="0.2">
      <c r="A18" s="127" t="s">
        <v>247</v>
      </c>
      <c r="B18" s="147">
        <f>'GL Nov-Mar 20'!L156+'GL Nov-Mar 20'!L331</f>
        <v>426.48000000000008</v>
      </c>
      <c r="C18" s="128">
        <f>'Orbit Nov-Mar 20'!L26</f>
        <v>128.48000000000002</v>
      </c>
      <c r="D18" s="148"/>
      <c r="E18" s="128">
        <f>'P-Card Oct-Mar 20'!J8+'P-Card Oct-Mar 20'!J9+'P-Card Oct-Mar 20'!J13+'P-Card Oct-Mar 20'!J16+'P-Card Oct-Mar 20'!J17</f>
        <v>166.35</v>
      </c>
      <c r="F18" s="149"/>
      <c r="G18" s="150">
        <f>SUM(C18:F18)-B18</f>
        <v>-131.65000000000003</v>
      </c>
      <c r="H18" s="151">
        <f t="shared" si="0"/>
        <v>-131.65000000000003</v>
      </c>
      <c r="I18" s="152" t="s">
        <v>239</v>
      </c>
      <c r="J18" s="153" t="s">
        <v>248</v>
      </c>
    </row>
    <row r="19" spans="1:10" x14ac:dyDescent="0.2">
      <c r="A19" s="127" t="s">
        <v>249</v>
      </c>
      <c r="B19" s="154">
        <f>'GL Nov-Mar 20'!L168+'GL Nov-Mar 20'!L336</f>
        <v>15848.460000000003</v>
      </c>
      <c r="C19" s="149">
        <f>'Orbit Nov-Mar 20'!L31</f>
        <v>8250.0299999999988</v>
      </c>
      <c r="D19" s="149"/>
      <c r="E19" s="149"/>
      <c r="F19" s="128"/>
      <c r="G19" s="150">
        <f t="shared" ref="G19:G20" si="1">SUM(C19:F19)-B19</f>
        <v>-7598.4300000000039</v>
      </c>
      <c r="H19" s="151">
        <f t="shared" si="0"/>
        <v>-7598.4300000000039</v>
      </c>
      <c r="I19" s="274" t="s">
        <v>239</v>
      </c>
      <c r="J19" s="155" t="s">
        <v>250</v>
      </c>
    </row>
    <row r="20" spans="1:10" x14ac:dyDescent="0.2">
      <c r="A20" s="127" t="s">
        <v>251</v>
      </c>
      <c r="B20" s="154">
        <f>'GL Nov-Mar 20'!L175+'GL Nov-Mar 20'!L342</f>
        <v>2035.4899999999996</v>
      </c>
      <c r="C20" s="149"/>
      <c r="D20" s="149"/>
      <c r="E20" s="149">
        <f>'P-Card Oct-Mar 20'!J23+'P-Card Oct-Mar 20'!J25</f>
        <v>2051.4899999999998</v>
      </c>
      <c r="F20" s="128"/>
      <c r="G20" s="150">
        <f t="shared" si="1"/>
        <v>16.000000000000227</v>
      </c>
      <c r="H20" s="151">
        <f t="shared" si="0"/>
        <v>16.000000000000227</v>
      </c>
      <c r="I20" s="274" t="s">
        <v>239</v>
      </c>
      <c r="J20" s="155" t="s">
        <v>252</v>
      </c>
    </row>
    <row r="21" spans="1:10" ht="13.5" thickBot="1" x14ac:dyDescent="0.25">
      <c r="A21" s="158" t="s">
        <v>253</v>
      </c>
      <c r="B21" s="159">
        <f>SUM(B14:B20)</f>
        <v>25520.639999999999</v>
      </c>
      <c r="C21" s="159">
        <f t="shared" ref="C21:H21" si="2">SUM(C14:C20)</f>
        <v>8977.4199999999983</v>
      </c>
      <c r="D21" s="159">
        <f t="shared" si="2"/>
        <v>53.19</v>
      </c>
      <c r="E21" s="159">
        <f t="shared" si="2"/>
        <v>3034.7</v>
      </c>
      <c r="F21" s="159">
        <f t="shared" si="2"/>
        <v>0</v>
      </c>
      <c r="G21" s="160">
        <f t="shared" si="2"/>
        <v>-13455.330000000002</v>
      </c>
      <c r="H21" s="160">
        <f t="shared" si="2"/>
        <v>-13455.330000000002</v>
      </c>
      <c r="I21" s="161"/>
      <c r="J21" s="162"/>
    </row>
    <row r="22" spans="1:10" ht="13.5" thickTop="1" x14ac:dyDescent="0.2">
      <c r="A22" s="163" t="s">
        <v>254</v>
      </c>
      <c r="B22" s="164"/>
      <c r="C22" s="164"/>
      <c r="D22" s="164"/>
      <c r="E22" s="164"/>
      <c r="F22" s="164"/>
      <c r="G22" s="164"/>
      <c r="H22" s="164"/>
      <c r="I22" s="165"/>
      <c r="J22" s="166"/>
    </row>
    <row r="23" spans="1:10" x14ac:dyDescent="0.2">
      <c r="A23" s="120"/>
      <c r="B23" s="120"/>
      <c r="C23" s="167"/>
      <c r="D23" s="168"/>
      <c r="E23" s="167"/>
      <c r="F23" s="168"/>
      <c r="G23" s="168"/>
      <c r="H23" s="168"/>
      <c r="I23" s="169"/>
      <c r="J23" s="120"/>
    </row>
    <row r="24" spans="1:10" ht="15" x14ac:dyDescent="0.25">
      <c r="A24" s="122" t="s">
        <v>255</v>
      </c>
      <c r="B24" s="120"/>
      <c r="C24" s="120"/>
      <c r="D24" s="120"/>
      <c r="E24" s="120"/>
      <c r="F24" s="120"/>
      <c r="G24" s="120"/>
      <c r="H24" s="120"/>
      <c r="I24" s="120"/>
      <c r="J24" s="120"/>
    </row>
    <row r="25" spans="1:10" ht="24" x14ac:dyDescent="0.2">
      <c r="A25" s="126" t="s">
        <v>228</v>
      </c>
      <c r="B25" s="126" t="s">
        <v>229</v>
      </c>
      <c r="C25" s="126" t="s">
        <v>230</v>
      </c>
      <c r="D25" s="126" t="s">
        <v>231</v>
      </c>
      <c r="E25" s="126" t="s">
        <v>232</v>
      </c>
      <c r="F25" s="125" t="s">
        <v>233</v>
      </c>
      <c r="G25" s="126" t="s">
        <v>234</v>
      </c>
      <c r="H25" s="125" t="s">
        <v>235</v>
      </c>
      <c r="I25" s="125" t="s">
        <v>236</v>
      </c>
      <c r="J25" s="126" t="s">
        <v>256</v>
      </c>
    </row>
    <row r="26" spans="1:10" x14ac:dyDescent="0.2">
      <c r="A26" s="129" t="s">
        <v>257</v>
      </c>
      <c r="B26" s="143">
        <f>'GL Nov-Mar 20'!L22</f>
        <v>-390.71000000000004</v>
      </c>
      <c r="C26" s="144"/>
      <c r="D26" s="144"/>
      <c r="E26" s="144"/>
      <c r="F26" s="130"/>
      <c r="G26" s="150">
        <f>SUM(C26:F26)-B26</f>
        <v>390.71000000000004</v>
      </c>
      <c r="H26" s="145">
        <f>G26</f>
        <v>390.71000000000004</v>
      </c>
      <c r="I26" s="146" t="s">
        <v>239</v>
      </c>
      <c r="J26" s="135" t="s">
        <v>258</v>
      </c>
    </row>
    <row r="27" spans="1:10" x14ac:dyDescent="0.2">
      <c r="A27" s="136" t="s">
        <v>259</v>
      </c>
      <c r="B27" s="139">
        <f>'GL Nov-Mar 20'!L30+'GL Nov-Mar 20'!L213</f>
        <v>454.40999999999997</v>
      </c>
      <c r="C27" s="139"/>
      <c r="D27" s="139"/>
      <c r="E27" s="139"/>
      <c r="F27" s="139"/>
      <c r="G27" s="150">
        <f t="shared" ref="G27:G28" si="3">SUM(C27:F27)-B27</f>
        <v>-454.40999999999997</v>
      </c>
      <c r="H27" s="150">
        <f>G27</f>
        <v>-454.40999999999997</v>
      </c>
      <c r="I27" s="349" t="s">
        <v>239</v>
      </c>
      <c r="J27" s="350" t="s">
        <v>260</v>
      </c>
    </row>
    <row r="28" spans="1:10" x14ac:dyDescent="0.2">
      <c r="A28" s="156" t="s">
        <v>261</v>
      </c>
      <c r="B28" s="157">
        <f>'GL Nov-Mar 20'!L17</f>
        <v>37.74</v>
      </c>
      <c r="C28" s="157"/>
      <c r="D28" s="157"/>
      <c r="E28" s="157"/>
      <c r="F28" s="157"/>
      <c r="G28" s="150">
        <f t="shared" si="3"/>
        <v>-37.74</v>
      </c>
      <c r="H28" s="150">
        <f>G28</f>
        <v>-37.74</v>
      </c>
      <c r="I28" s="300" t="s">
        <v>239</v>
      </c>
      <c r="J28" s="299" t="s">
        <v>262</v>
      </c>
    </row>
    <row r="29" spans="1:10" ht="13.5" thickBot="1" x14ac:dyDescent="0.25">
      <c r="A29" s="170" t="s">
        <v>253</v>
      </c>
      <c r="B29" s="171">
        <f>SUM(B26:B28)</f>
        <v>101.43999999999994</v>
      </c>
      <c r="C29" s="171">
        <f>SUM(C26:C27)</f>
        <v>0</v>
      </c>
      <c r="D29" s="171">
        <f>SUM(D26:D27)</f>
        <v>0</v>
      </c>
      <c r="E29" s="171">
        <f>SUM(E28)</f>
        <v>0</v>
      </c>
      <c r="F29" s="171">
        <f>SUM(F26:F27)</f>
        <v>0</v>
      </c>
      <c r="G29" s="171">
        <f>SUM(G26:G28)</f>
        <v>-101.43999999999994</v>
      </c>
      <c r="H29" s="171">
        <f>SUM(H26:H28)</f>
        <v>-101.43999999999994</v>
      </c>
      <c r="I29" s="172"/>
      <c r="J29" s="172"/>
    </row>
    <row r="30" spans="1:10" ht="13.5" thickTop="1" x14ac:dyDescent="0.2">
      <c r="A30" s="163" t="s">
        <v>254</v>
      </c>
      <c r="B30" s="120"/>
      <c r="C30" s="120"/>
      <c r="D30" s="120"/>
      <c r="E30" s="120"/>
      <c r="F30" s="120"/>
      <c r="G30" s="120"/>
      <c r="H30" s="120"/>
      <c r="I30" s="120"/>
      <c r="J30" s="120"/>
    </row>
    <row r="31" spans="1:10" x14ac:dyDescent="0.2">
      <c r="A31" s="120"/>
      <c r="B31" s="120"/>
      <c r="C31" s="120"/>
      <c r="D31" s="120"/>
      <c r="E31" s="120"/>
      <c r="F31" s="120"/>
      <c r="G31" s="120"/>
      <c r="H31" s="120"/>
      <c r="I31" s="120"/>
      <c r="J31" s="120"/>
    </row>
    <row r="32" spans="1:10" ht="15" x14ac:dyDescent="0.25">
      <c r="A32" s="122" t="s">
        <v>263</v>
      </c>
      <c r="B32" s="120"/>
      <c r="C32" s="120"/>
      <c r="D32" s="120"/>
      <c r="E32" s="120"/>
      <c r="F32" s="120"/>
      <c r="G32" s="120"/>
      <c r="H32" s="120"/>
      <c r="I32" s="120"/>
      <c r="J32" s="120"/>
    </row>
    <row r="33" spans="1:10" ht="24" x14ac:dyDescent="0.2">
      <c r="A33" s="123" t="s">
        <v>228</v>
      </c>
      <c r="B33" s="123" t="s">
        <v>229</v>
      </c>
      <c r="C33" s="123" t="s">
        <v>230</v>
      </c>
      <c r="D33" s="123" t="s">
        <v>231</v>
      </c>
      <c r="E33" s="123" t="s">
        <v>232</v>
      </c>
      <c r="F33" s="124" t="s">
        <v>233</v>
      </c>
      <c r="G33" s="123" t="s">
        <v>234</v>
      </c>
      <c r="H33" s="124" t="s">
        <v>235</v>
      </c>
      <c r="I33" s="125" t="s">
        <v>236</v>
      </c>
      <c r="J33" s="173" t="s">
        <v>256</v>
      </c>
    </row>
    <row r="34" spans="1:10" x14ac:dyDescent="0.2">
      <c r="A34" s="136" t="s">
        <v>264</v>
      </c>
      <c r="B34" s="139">
        <f>'GL Nov-Mar 20'!L9</f>
        <v>1100</v>
      </c>
      <c r="C34" s="353"/>
      <c r="D34" s="126"/>
      <c r="E34" s="126"/>
      <c r="F34" s="354"/>
      <c r="G34" s="150">
        <f>SUM(C34:F34)-B34</f>
        <v>-1100</v>
      </c>
      <c r="H34" s="137">
        <f>G34</f>
        <v>-1100</v>
      </c>
      <c r="I34" s="417" t="s">
        <v>239</v>
      </c>
      <c r="J34" s="356" t="s">
        <v>265</v>
      </c>
    </row>
    <row r="35" spans="1:10" x14ac:dyDescent="0.2">
      <c r="A35" s="156" t="s">
        <v>266</v>
      </c>
      <c r="B35" s="352">
        <f>'GL Nov-Mar 20'!L13</f>
        <v>693.91</v>
      </c>
      <c r="C35" s="414"/>
      <c r="D35" s="414"/>
      <c r="E35" s="414"/>
      <c r="F35" s="157"/>
      <c r="G35" s="352">
        <f>SUM(C35:F35)-B35</f>
        <v>-693.91</v>
      </c>
      <c r="H35" s="384">
        <f>G35</f>
        <v>-693.91</v>
      </c>
      <c r="I35" s="415" t="s">
        <v>239</v>
      </c>
      <c r="J35" s="416" t="s">
        <v>267</v>
      </c>
    </row>
    <row r="36" spans="1:10" x14ac:dyDescent="0.2">
      <c r="A36" s="136" t="s">
        <v>268</v>
      </c>
      <c r="B36" s="154">
        <f>'GL Nov-Mar 20'!L34+'GL Nov-Mar 20'!L219</f>
        <v>1068.03</v>
      </c>
      <c r="C36" s="149"/>
      <c r="D36" s="149"/>
      <c r="E36" s="149"/>
      <c r="F36" s="128"/>
      <c r="G36" s="352">
        <f>SUM(C36:F36)-B36</f>
        <v>-1068.03</v>
      </c>
      <c r="H36" s="384">
        <f>G36</f>
        <v>-1068.03</v>
      </c>
      <c r="I36" s="404" t="s">
        <v>239</v>
      </c>
      <c r="J36" s="155" t="s">
        <v>269</v>
      </c>
    </row>
    <row r="37" spans="1:10" x14ac:dyDescent="0.2">
      <c r="A37" s="127" t="s">
        <v>270</v>
      </c>
      <c r="B37" s="154">
        <f>'GL Nov-Mar 20'!L184+'GL Nov-Mar 20'!L347</f>
        <v>430.76</v>
      </c>
      <c r="C37" s="149"/>
      <c r="D37" s="149"/>
      <c r="E37" s="149"/>
      <c r="F37" s="128">
        <f>'Vodafone Nov-Mar 20'!G11+'Vodafone Nov-Mar 20'!G25+'Vodafone Nov-Mar 20'!G40+'Vodafone Nov-Mar 20'!G58+'Vodafone Nov-Mar 20'!G77</f>
        <v>252.51999999999998</v>
      </c>
      <c r="G37" s="150">
        <f>SUM(C37:F37)-B37</f>
        <v>-178.24</v>
      </c>
      <c r="H37" s="385">
        <f>G37</f>
        <v>-178.24</v>
      </c>
      <c r="I37" s="274" t="s">
        <v>239</v>
      </c>
      <c r="J37" s="155" t="s">
        <v>271</v>
      </c>
    </row>
    <row r="38" spans="1:10" x14ac:dyDescent="0.2">
      <c r="A38" s="127" t="s">
        <v>272</v>
      </c>
      <c r="B38" s="154">
        <f>'GL Nov-Mar 20'!I190-'GL Nov-Mar 20'!J190</f>
        <v>254.44</v>
      </c>
      <c r="C38" s="149"/>
      <c r="D38" s="149"/>
      <c r="E38" s="149">
        <f>'P-Card Oct-Mar 20'!J11</f>
        <v>254.44</v>
      </c>
      <c r="F38" s="128"/>
      <c r="G38" s="150">
        <f>SUM(C38:F38)-B38</f>
        <v>0</v>
      </c>
      <c r="H38" s="385">
        <f>G38</f>
        <v>0</v>
      </c>
      <c r="I38" s="274"/>
      <c r="J38" s="155"/>
    </row>
    <row r="39" spans="1:10" ht="13.5" thickBot="1" x14ac:dyDescent="0.25">
      <c r="A39" s="158" t="s">
        <v>253</v>
      </c>
      <c r="B39" s="174">
        <f>SUM(B34:B38)</f>
        <v>3547.14</v>
      </c>
      <c r="C39" s="174">
        <f t="shared" ref="C39:G39" si="4">SUM(C34:C38)</f>
        <v>0</v>
      </c>
      <c r="D39" s="174">
        <f t="shared" si="4"/>
        <v>0</v>
      </c>
      <c r="E39" s="174">
        <f t="shared" si="4"/>
        <v>254.44</v>
      </c>
      <c r="F39" s="174">
        <f t="shared" si="4"/>
        <v>252.51999999999998</v>
      </c>
      <c r="G39" s="171">
        <f t="shared" si="4"/>
        <v>-3040.1799999999994</v>
      </c>
      <c r="H39" s="171">
        <f>SUM(H34:H38)</f>
        <v>-3040.1799999999994</v>
      </c>
      <c r="I39" s="175"/>
      <c r="J39" s="176"/>
    </row>
    <row r="40" spans="1:10" ht="13.5" thickTop="1" x14ac:dyDescent="0.2">
      <c r="A40" s="163" t="s">
        <v>254</v>
      </c>
    </row>
    <row r="41" spans="1:10" x14ac:dyDescent="0.2">
      <c r="B41" s="177"/>
      <c r="E41" s="177"/>
    </row>
    <row r="42" spans="1:10" ht="15" x14ac:dyDescent="0.2">
      <c r="A42" s="178"/>
      <c r="I42" s="177"/>
    </row>
    <row r="43" spans="1:10" ht="15" x14ac:dyDescent="0.2">
      <c r="A43" s="179"/>
      <c r="E43" s="180" t="s">
        <v>273</v>
      </c>
      <c r="G43" s="177">
        <f>B21+G21+E39</f>
        <v>12319.749999999998</v>
      </c>
      <c r="I43" s="177"/>
    </row>
    <row r="44" spans="1:10" ht="15" x14ac:dyDescent="0.25">
      <c r="A44" s="181" t="s">
        <v>274</v>
      </c>
      <c r="B44" s="182"/>
      <c r="C44" s="183"/>
      <c r="D44" s="183"/>
      <c r="E44" s="184">
        <f>B21+B29+B39</f>
        <v>29169.219999999998</v>
      </c>
      <c r="G44" s="177"/>
      <c r="I44" s="177"/>
    </row>
    <row r="45" spans="1:10" ht="15" x14ac:dyDescent="0.25">
      <c r="A45" s="181" t="s">
        <v>275</v>
      </c>
      <c r="B45" s="182"/>
      <c r="C45" s="183"/>
      <c r="D45" s="183"/>
      <c r="E45" s="184">
        <f>H21+H29+H39</f>
        <v>-16596.95</v>
      </c>
      <c r="G45" s="177"/>
      <c r="I45" s="177"/>
    </row>
    <row r="46" spans="1:10" ht="15" x14ac:dyDescent="0.25">
      <c r="A46" s="181"/>
      <c r="B46" s="182"/>
      <c r="C46" s="183"/>
      <c r="D46" s="183"/>
      <c r="E46" s="184"/>
      <c r="I46" s="177"/>
    </row>
    <row r="47" spans="1:10" ht="15" x14ac:dyDescent="0.25">
      <c r="A47" s="181"/>
      <c r="B47" s="182"/>
      <c r="C47" s="183"/>
      <c r="D47" s="183"/>
      <c r="E47" s="184"/>
      <c r="H47" s="177"/>
      <c r="I47" s="177"/>
      <c r="J47" s="177"/>
    </row>
    <row r="48" spans="1:10" ht="15" x14ac:dyDescent="0.25">
      <c r="A48" s="181"/>
      <c r="B48" s="182"/>
      <c r="C48" s="183"/>
      <c r="D48" s="183"/>
      <c r="E48" s="184"/>
      <c r="H48" s="177"/>
      <c r="I48" s="177"/>
      <c r="J48" s="177"/>
    </row>
    <row r="49" spans="1:10" ht="15" x14ac:dyDescent="0.25">
      <c r="A49" s="181"/>
      <c r="B49" s="182"/>
      <c r="C49" s="183"/>
      <c r="D49" s="183"/>
      <c r="E49" s="184"/>
      <c r="H49" s="177"/>
      <c r="I49" s="177"/>
      <c r="J49" s="177"/>
    </row>
    <row r="50" spans="1:10" ht="15" x14ac:dyDescent="0.25">
      <c r="A50" s="181"/>
      <c r="B50" s="182"/>
      <c r="C50" s="183"/>
      <c r="D50" s="183"/>
      <c r="E50" s="184"/>
      <c r="I50" s="177"/>
    </row>
    <row r="51" spans="1:10" ht="15.75" thickBot="1" x14ac:dyDescent="0.3">
      <c r="A51" s="185" t="s">
        <v>276</v>
      </c>
      <c r="B51" s="186"/>
      <c r="C51" s="186"/>
      <c r="D51" s="186"/>
      <c r="E51" s="187">
        <f>SUM(E44:E50)</f>
        <v>12572.269999999997</v>
      </c>
    </row>
    <row r="52" spans="1:10" x14ac:dyDescent="0.2">
      <c r="I52" s="177"/>
    </row>
    <row r="53" spans="1:10" x14ac:dyDescent="0.2">
      <c r="E53" s="188"/>
      <c r="I53" s="177"/>
    </row>
    <row r="54" spans="1:10" x14ac:dyDescent="0.2">
      <c r="I54" s="177"/>
    </row>
    <row r="55" spans="1:10" x14ac:dyDescent="0.2">
      <c r="D55" s="189" t="s">
        <v>277</v>
      </c>
      <c r="I55" s="177"/>
    </row>
    <row r="56" spans="1:10" x14ac:dyDescent="0.2">
      <c r="G56" s="188"/>
      <c r="H56" s="231"/>
      <c r="I56" s="177"/>
    </row>
    <row r="57" spans="1:10" x14ac:dyDescent="0.2">
      <c r="D57" t="s">
        <v>278</v>
      </c>
      <c r="E57" s="188" t="e">
        <f>'Summary and sign-off'!B11+'Summary and sign-off'!B12+'Summary and sign-off'!B13</f>
        <v>#REF!</v>
      </c>
      <c r="H57" s="231"/>
      <c r="I57" s="177"/>
    </row>
    <row r="58" spans="1:10" x14ac:dyDescent="0.2">
      <c r="B58" s="190"/>
      <c r="C58" s="22"/>
      <c r="D58" s="191"/>
      <c r="E58" s="192"/>
      <c r="G58" s="177"/>
      <c r="H58" s="231"/>
      <c r="I58" s="177"/>
    </row>
    <row r="59" spans="1:10" x14ac:dyDescent="0.2">
      <c r="B59" s="190"/>
      <c r="D59" t="s">
        <v>279</v>
      </c>
      <c r="E59" s="193">
        <f>E51</f>
        <v>12572.269999999997</v>
      </c>
      <c r="G59" s="177"/>
      <c r="H59" s="231"/>
      <c r="I59" s="177"/>
    </row>
    <row r="61" spans="1:10" x14ac:dyDescent="0.2">
      <c r="D61" s="194" t="s">
        <v>280</v>
      </c>
      <c r="E61" s="195" t="e">
        <f>E57-E59</f>
        <v>#REF!</v>
      </c>
      <c r="H61" s="177"/>
    </row>
    <row r="63" spans="1:10" x14ac:dyDescent="0.2">
      <c r="H63" s="177"/>
    </row>
  </sheetData>
  <pageMargins left="0.19685039370078741" right="0.27559055118110237" top="0.44" bottom="0.56000000000000005" header="0.31496062992125984" footer="0.31496062992125984"/>
  <pageSetup paperSize="8" scale="87" fitToHeight="3" orientation="landscape" r:id="rId1"/>
  <headerFooter>
    <oddFooter>&amp;L&amp;8&amp;Z&amp;F&amp;A&amp;R&amp;8&amp;D&amp;T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DE7A-116F-410A-97EE-2B591C8F2290}">
  <sheetPr>
    <tabColor theme="7"/>
    <pageSetUpPr fitToPage="1"/>
  </sheetPr>
  <dimension ref="A8:J59"/>
  <sheetViews>
    <sheetView topLeftCell="A25" zoomScaleNormal="100" workbookViewId="0">
      <selection activeCell="E77" sqref="E77"/>
    </sheetView>
  </sheetViews>
  <sheetFormatPr defaultColWidth="9.140625" defaultRowHeight="12.75" x14ac:dyDescent="0.2"/>
  <cols>
    <col min="1" max="1" width="25.140625" customWidth="1"/>
    <col min="2" max="2" width="20.140625" customWidth="1"/>
    <col min="3" max="3" width="21.42578125" customWidth="1"/>
    <col min="4" max="4" width="20.85546875" customWidth="1"/>
    <col min="5" max="5" width="20.42578125" customWidth="1"/>
    <col min="6" max="6" width="25.28515625" customWidth="1"/>
    <col min="7" max="7" width="23.85546875" customWidth="1"/>
    <col min="8" max="8" width="15.7109375" bestFit="1" customWidth="1"/>
    <col min="9" max="9" width="13.5703125" customWidth="1"/>
    <col min="10" max="10" width="53.140625" bestFit="1" customWidth="1"/>
  </cols>
  <sheetData>
    <row r="8" spans="1:10" ht="15" customHeight="1" x14ac:dyDescent="0.25">
      <c r="A8" s="119" t="s">
        <v>224</v>
      </c>
      <c r="B8" s="120"/>
      <c r="C8" s="120"/>
      <c r="D8" s="120"/>
      <c r="E8" s="120"/>
      <c r="F8" s="120"/>
      <c r="G8" s="120"/>
      <c r="H8" s="120"/>
      <c r="I8" s="120"/>
      <c r="J8" s="120"/>
    </row>
    <row r="9" spans="1:10" ht="15.75" x14ac:dyDescent="0.25">
      <c r="A9" s="121" t="s">
        <v>281</v>
      </c>
      <c r="B9" s="120"/>
      <c r="C9" s="120"/>
      <c r="D9" s="120"/>
      <c r="E9" s="120"/>
      <c r="F9" s="120"/>
      <c r="G9" s="120"/>
      <c r="H9" s="120"/>
      <c r="I9" s="120"/>
      <c r="J9" s="120"/>
    </row>
    <row r="10" spans="1:10" x14ac:dyDescent="0.2">
      <c r="A10" s="120"/>
      <c r="B10" s="120"/>
      <c r="C10" s="120"/>
      <c r="D10" s="120"/>
      <c r="E10" s="120"/>
      <c r="F10" s="120"/>
      <c r="G10" s="120"/>
      <c r="H10" s="120"/>
      <c r="I10" s="120"/>
      <c r="J10" s="120"/>
    </row>
    <row r="11" spans="1:10" x14ac:dyDescent="0.2">
      <c r="A11" s="120"/>
      <c r="B11" s="120"/>
      <c r="C11" s="120"/>
      <c r="D11" s="120"/>
      <c r="E11" s="120"/>
      <c r="F11" s="120"/>
      <c r="G11" s="120"/>
      <c r="H11" s="287" t="s">
        <v>226</v>
      </c>
      <c r="I11" s="287"/>
      <c r="J11" s="287"/>
    </row>
    <row r="12" spans="1:10" ht="15" x14ac:dyDescent="0.25">
      <c r="A12" s="122" t="s">
        <v>227</v>
      </c>
      <c r="B12" s="120"/>
      <c r="C12" s="120"/>
      <c r="D12" s="120"/>
      <c r="E12" s="120"/>
      <c r="F12" s="120"/>
      <c r="G12" s="120"/>
      <c r="H12" s="120"/>
      <c r="I12" s="120"/>
      <c r="J12" s="120"/>
    </row>
    <row r="13" spans="1:10" ht="24" x14ac:dyDescent="0.2">
      <c r="A13" s="123" t="s">
        <v>228</v>
      </c>
      <c r="B13" s="123" t="s">
        <v>229</v>
      </c>
      <c r="C13" s="123" t="s">
        <v>230</v>
      </c>
      <c r="D13" s="123" t="s">
        <v>231</v>
      </c>
      <c r="E13" s="123" t="s">
        <v>232</v>
      </c>
      <c r="F13" s="124" t="s">
        <v>233</v>
      </c>
      <c r="G13" s="123" t="s">
        <v>234</v>
      </c>
      <c r="H13" s="124" t="s">
        <v>235</v>
      </c>
      <c r="I13" s="124" t="s">
        <v>236</v>
      </c>
      <c r="J13" s="123" t="s">
        <v>237</v>
      </c>
    </row>
    <row r="14" spans="1:10" x14ac:dyDescent="0.2">
      <c r="A14" s="136" t="s">
        <v>238</v>
      </c>
      <c r="B14" s="139">
        <v>0</v>
      </c>
      <c r="C14" s="353">
        <v>0</v>
      </c>
      <c r="D14" s="353">
        <v>0</v>
      </c>
      <c r="E14" s="353">
        <v>0</v>
      </c>
      <c r="F14" s="354"/>
      <c r="G14" s="150">
        <f>SUM(C14:F14)-B14</f>
        <v>0</v>
      </c>
      <c r="H14" s="150">
        <f t="shared" ref="H14:H20" si="0">G14</f>
        <v>0</v>
      </c>
      <c r="I14" s="355"/>
      <c r="J14" s="356"/>
    </row>
    <row r="15" spans="1:10" x14ac:dyDescent="0.2">
      <c r="A15" s="129" t="s">
        <v>241</v>
      </c>
      <c r="B15" s="130">
        <v>0</v>
      </c>
      <c r="C15" s="131">
        <v>0</v>
      </c>
      <c r="D15" s="353">
        <v>0</v>
      </c>
      <c r="E15" s="353">
        <v>0</v>
      </c>
      <c r="F15" s="133"/>
      <c r="G15" s="352">
        <f>SUM(C15:F15)-B15</f>
        <v>0</v>
      </c>
      <c r="H15" s="150">
        <f t="shared" si="0"/>
        <v>0</v>
      </c>
      <c r="I15" s="263"/>
      <c r="J15" s="134"/>
    </row>
    <row r="16" spans="1:10" x14ac:dyDescent="0.2">
      <c r="A16" s="136" t="s">
        <v>243</v>
      </c>
      <c r="B16" s="137">
        <v>0</v>
      </c>
      <c r="C16" s="138">
        <v>0</v>
      </c>
      <c r="D16" s="353">
        <v>0</v>
      </c>
      <c r="E16" s="138">
        <v>0</v>
      </c>
      <c r="F16" s="139"/>
      <c r="G16" s="137">
        <f>SUM(C16:F16)-B16</f>
        <v>0</v>
      </c>
      <c r="H16" s="140">
        <f t="shared" si="0"/>
        <v>0</v>
      </c>
      <c r="I16" s="141"/>
      <c r="J16" s="142"/>
    </row>
    <row r="17" spans="1:10" x14ac:dyDescent="0.2">
      <c r="A17" s="129" t="s">
        <v>245</v>
      </c>
      <c r="B17" s="143">
        <v>0</v>
      </c>
      <c r="C17" s="144">
        <v>0</v>
      </c>
      <c r="D17" s="144">
        <v>0</v>
      </c>
      <c r="E17" s="144">
        <v>0</v>
      </c>
      <c r="F17" s="130"/>
      <c r="G17" s="143">
        <f>SUM(C17:F17)-B17</f>
        <v>0</v>
      </c>
      <c r="H17" s="145">
        <f t="shared" si="0"/>
        <v>0</v>
      </c>
      <c r="I17" s="146"/>
      <c r="J17" s="135"/>
    </row>
    <row r="18" spans="1:10" x14ac:dyDescent="0.2">
      <c r="A18" s="127" t="s">
        <v>247</v>
      </c>
      <c r="B18" s="147">
        <f>'GL Apr-Jun 20'!I64</f>
        <v>19.649999999999999</v>
      </c>
      <c r="C18" s="128">
        <v>0</v>
      </c>
      <c r="D18" s="148">
        <v>0</v>
      </c>
      <c r="E18" s="128">
        <f>'P-Card Mar-Jun 20'!J6</f>
        <v>19.649999999999999</v>
      </c>
      <c r="F18" s="149"/>
      <c r="G18" s="150">
        <f>SUM(C18:F18)-B18</f>
        <v>0</v>
      </c>
      <c r="H18" s="151">
        <f t="shared" si="0"/>
        <v>0</v>
      </c>
      <c r="I18" s="152"/>
      <c r="J18" s="153"/>
    </row>
    <row r="19" spans="1:10" x14ac:dyDescent="0.2">
      <c r="A19" s="127" t="s">
        <v>249</v>
      </c>
      <c r="B19" s="154">
        <v>0</v>
      </c>
      <c r="C19" s="149">
        <v>0</v>
      </c>
      <c r="D19" s="149">
        <v>0</v>
      </c>
      <c r="E19" s="149">
        <v>0</v>
      </c>
      <c r="F19" s="128"/>
      <c r="G19" s="150">
        <f t="shared" ref="G19:G20" si="1">SUM(C19:F19)-B19</f>
        <v>0</v>
      </c>
      <c r="H19" s="151">
        <f t="shared" si="0"/>
        <v>0</v>
      </c>
      <c r="I19" s="274"/>
      <c r="J19" s="155"/>
    </row>
    <row r="20" spans="1:10" x14ac:dyDescent="0.2">
      <c r="A20" s="127" t="s">
        <v>251</v>
      </c>
      <c r="B20" s="154">
        <f>'GL Apr-Jun 20'!I68</f>
        <v>36.71</v>
      </c>
      <c r="C20" s="149">
        <v>0</v>
      </c>
      <c r="D20" s="149">
        <v>0</v>
      </c>
      <c r="E20" s="149">
        <v>0</v>
      </c>
      <c r="F20" s="128">
        <f>'GL Apr-Jun 20'!I68</f>
        <v>36.71</v>
      </c>
      <c r="G20" s="150">
        <f t="shared" si="1"/>
        <v>0</v>
      </c>
      <c r="H20" s="151">
        <f t="shared" si="0"/>
        <v>0</v>
      </c>
      <c r="I20" s="274"/>
      <c r="J20" s="155"/>
    </row>
    <row r="21" spans="1:10" ht="13.5" thickBot="1" x14ac:dyDescent="0.25">
      <c r="A21" s="158" t="s">
        <v>253</v>
      </c>
      <c r="B21" s="159">
        <f>SUM(B14:B20)</f>
        <v>56.36</v>
      </c>
      <c r="C21" s="159">
        <f t="shared" ref="C21:H21" si="2">SUM(C14:C20)</f>
        <v>0</v>
      </c>
      <c r="D21" s="159">
        <f t="shared" si="2"/>
        <v>0</v>
      </c>
      <c r="E21" s="159">
        <f t="shared" si="2"/>
        <v>19.649999999999999</v>
      </c>
      <c r="F21" s="159">
        <f t="shared" si="2"/>
        <v>36.71</v>
      </c>
      <c r="G21" s="160">
        <f t="shared" si="2"/>
        <v>0</v>
      </c>
      <c r="H21" s="160">
        <f t="shared" si="2"/>
        <v>0</v>
      </c>
      <c r="I21" s="161"/>
      <c r="J21" s="162"/>
    </row>
    <row r="22" spans="1:10" ht="13.5" thickTop="1" x14ac:dyDescent="0.2">
      <c r="A22" s="163" t="s">
        <v>254</v>
      </c>
      <c r="B22" s="164"/>
      <c r="C22" s="164"/>
      <c r="D22" s="164"/>
      <c r="E22" s="164"/>
      <c r="F22" s="164"/>
      <c r="G22" s="164"/>
      <c r="H22" s="164"/>
      <c r="I22" s="165"/>
      <c r="J22" s="166"/>
    </row>
    <row r="23" spans="1:10" x14ac:dyDescent="0.2">
      <c r="A23" s="120"/>
      <c r="B23" s="120"/>
      <c r="C23" s="167"/>
      <c r="D23" s="168"/>
      <c r="E23" s="167"/>
      <c r="F23" s="168"/>
      <c r="G23" s="168"/>
      <c r="H23" s="168"/>
      <c r="I23" s="169"/>
      <c r="J23" s="120"/>
    </row>
    <row r="24" spans="1:10" ht="15" x14ac:dyDescent="0.25">
      <c r="A24" s="122" t="s">
        <v>255</v>
      </c>
      <c r="B24" s="120"/>
      <c r="C24" s="120"/>
      <c r="D24" s="120"/>
      <c r="E24" s="120"/>
      <c r="F24" s="120"/>
      <c r="G24" s="120"/>
      <c r="H24" s="120"/>
      <c r="I24" s="120"/>
      <c r="J24" s="120"/>
    </row>
    <row r="25" spans="1:10" ht="24" x14ac:dyDescent="0.2">
      <c r="A25" s="126" t="s">
        <v>228</v>
      </c>
      <c r="B25" s="126" t="s">
        <v>229</v>
      </c>
      <c r="C25" s="126" t="s">
        <v>230</v>
      </c>
      <c r="D25" s="126" t="s">
        <v>231</v>
      </c>
      <c r="E25" s="126" t="s">
        <v>232</v>
      </c>
      <c r="F25" s="125" t="s">
        <v>233</v>
      </c>
      <c r="G25" s="126" t="s">
        <v>234</v>
      </c>
      <c r="H25" s="125" t="s">
        <v>235</v>
      </c>
      <c r="I25" s="125" t="s">
        <v>236</v>
      </c>
      <c r="J25" s="126" t="s">
        <v>256</v>
      </c>
    </row>
    <row r="26" spans="1:10" x14ac:dyDescent="0.2">
      <c r="A26" s="129" t="s">
        <v>257</v>
      </c>
      <c r="B26" s="143"/>
      <c r="C26" s="144"/>
      <c r="D26" s="144"/>
      <c r="E26" s="144"/>
      <c r="F26" s="130"/>
      <c r="G26" s="150">
        <f>SUM(C26:F26)-B26</f>
        <v>0</v>
      </c>
      <c r="H26" s="145">
        <f>G26</f>
        <v>0</v>
      </c>
      <c r="I26" s="146"/>
      <c r="J26" s="135"/>
    </row>
    <row r="27" spans="1:10" x14ac:dyDescent="0.2">
      <c r="A27" s="136" t="s">
        <v>259</v>
      </c>
      <c r="B27" s="139"/>
      <c r="C27" s="139"/>
      <c r="D27" s="139"/>
      <c r="E27" s="139"/>
      <c r="F27" s="139"/>
      <c r="G27" s="150">
        <f t="shared" ref="G27:G28" si="3">SUM(C27:F27)-B27</f>
        <v>0</v>
      </c>
      <c r="H27" s="150">
        <f>G27</f>
        <v>0</v>
      </c>
      <c r="I27" s="349"/>
      <c r="J27" s="350"/>
    </row>
    <row r="28" spans="1:10" x14ac:dyDescent="0.2">
      <c r="A28" s="156" t="s">
        <v>261</v>
      </c>
      <c r="B28" s="157"/>
      <c r="C28" s="157"/>
      <c r="D28" s="157"/>
      <c r="E28" s="157"/>
      <c r="F28" s="157"/>
      <c r="G28" s="150">
        <f t="shared" si="3"/>
        <v>0</v>
      </c>
      <c r="H28" s="150">
        <f>G28</f>
        <v>0</v>
      </c>
      <c r="I28" s="300"/>
      <c r="J28" s="299"/>
    </row>
    <row r="29" spans="1:10" ht="13.5" thickBot="1" x14ac:dyDescent="0.25">
      <c r="A29" s="170" t="s">
        <v>253</v>
      </c>
      <c r="B29" s="171">
        <f>SUM(B26:B28)</f>
        <v>0</v>
      </c>
      <c r="C29" s="171">
        <f>SUM(C26:C27)</f>
        <v>0</v>
      </c>
      <c r="D29" s="171">
        <f>SUM(D26:D27)</f>
        <v>0</v>
      </c>
      <c r="E29" s="171">
        <f>SUM(E28)</f>
        <v>0</v>
      </c>
      <c r="F29" s="171">
        <f>SUM(F26:F27)</f>
        <v>0</v>
      </c>
      <c r="G29" s="171">
        <f>SUM(G26:G28)</f>
        <v>0</v>
      </c>
      <c r="H29" s="171">
        <f>SUM(H26:H28)</f>
        <v>0</v>
      </c>
      <c r="I29" s="172"/>
      <c r="J29" s="172"/>
    </row>
    <row r="30" spans="1:10" ht="13.5" thickTop="1" x14ac:dyDescent="0.2">
      <c r="A30" s="163" t="s">
        <v>254</v>
      </c>
      <c r="B30" s="120"/>
      <c r="C30" s="120"/>
      <c r="D30" s="120"/>
      <c r="E30" s="120"/>
      <c r="F30" s="120"/>
      <c r="G30" s="120"/>
      <c r="H30" s="120"/>
      <c r="I30" s="120"/>
      <c r="J30" s="120"/>
    </row>
    <row r="31" spans="1:10" x14ac:dyDescent="0.2">
      <c r="A31" s="120"/>
      <c r="B31" s="120"/>
      <c r="C31" s="120"/>
      <c r="D31" s="120"/>
      <c r="E31" s="120"/>
      <c r="F31" s="120"/>
      <c r="G31" s="120"/>
      <c r="H31" s="120"/>
      <c r="I31" s="120"/>
      <c r="J31" s="120"/>
    </row>
    <row r="32" spans="1:10" ht="15" x14ac:dyDescent="0.25">
      <c r="A32" s="122" t="s">
        <v>263</v>
      </c>
      <c r="B32" s="120"/>
      <c r="C32" s="120"/>
      <c r="D32" s="120"/>
      <c r="E32" s="120"/>
      <c r="F32" s="120"/>
      <c r="G32" s="120"/>
      <c r="H32" s="120"/>
      <c r="I32" s="120"/>
      <c r="J32" s="120"/>
    </row>
    <row r="33" spans="1:10" ht="24" x14ac:dyDescent="0.2">
      <c r="A33" s="123" t="s">
        <v>228</v>
      </c>
      <c r="B33" s="123" t="s">
        <v>229</v>
      </c>
      <c r="C33" s="123" t="s">
        <v>230</v>
      </c>
      <c r="D33" s="123" t="s">
        <v>231</v>
      </c>
      <c r="E33" s="123" t="s">
        <v>232</v>
      </c>
      <c r="F33" s="124" t="s">
        <v>233</v>
      </c>
      <c r="G33" s="123" t="s">
        <v>234</v>
      </c>
      <c r="H33" s="124" t="s">
        <v>235</v>
      </c>
      <c r="I33" s="125" t="s">
        <v>236</v>
      </c>
      <c r="J33" s="173" t="s">
        <v>256</v>
      </c>
    </row>
    <row r="34" spans="1:10" x14ac:dyDescent="0.2">
      <c r="A34" s="136" t="s">
        <v>264</v>
      </c>
      <c r="B34" s="139"/>
      <c r="C34" s="353"/>
      <c r="D34" s="126"/>
      <c r="E34" s="126"/>
      <c r="F34" s="354"/>
      <c r="G34" s="150">
        <f>SUM(C34:F34)-B34</f>
        <v>0</v>
      </c>
      <c r="H34" s="137">
        <f>G34</f>
        <v>0</v>
      </c>
      <c r="I34" s="417"/>
      <c r="J34" s="356"/>
    </row>
    <row r="35" spans="1:10" x14ac:dyDescent="0.2">
      <c r="A35" s="156" t="s">
        <v>266</v>
      </c>
      <c r="B35" s="352">
        <f>'GL Apr-Jun 20'!I13+'GL Apr-Jun 20'!I14+'GL Apr-Jun 20'!I15+'GL Apr-Jun 20'!I16</f>
        <v>2159.2200000000003</v>
      </c>
      <c r="C35" s="414"/>
      <c r="D35" s="414"/>
      <c r="E35" s="414">
        <f>'P-Card Mar-Jun 20'!J5</f>
        <v>285.3</v>
      </c>
      <c r="F35" s="157">
        <f>'GL Apr-Jun 20'!I13+'GL Apr-Jun 20'!I14+'GL Apr-Jun 20'!I15</f>
        <v>1873.92</v>
      </c>
      <c r="G35" s="352">
        <f>SUM(C35:F35)-B35</f>
        <v>0</v>
      </c>
      <c r="H35" s="384">
        <f>G35</f>
        <v>0</v>
      </c>
      <c r="I35" s="415"/>
      <c r="J35" s="416"/>
    </row>
    <row r="36" spans="1:10" x14ac:dyDescent="0.2">
      <c r="A36" s="136" t="s">
        <v>268</v>
      </c>
      <c r="B36" s="154"/>
      <c r="C36" s="149"/>
      <c r="D36" s="149"/>
      <c r="E36" s="149"/>
      <c r="F36" s="128"/>
      <c r="G36" s="352">
        <f>SUM(C36:F36)-B36</f>
        <v>0</v>
      </c>
      <c r="H36" s="384">
        <f>G36</f>
        <v>0</v>
      </c>
      <c r="I36" s="404"/>
      <c r="J36" s="155"/>
    </row>
    <row r="37" spans="1:10" x14ac:dyDescent="0.2">
      <c r="A37" s="127" t="s">
        <v>270</v>
      </c>
      <c r="B37" s="154">
        <f>'GL Apr-Jun 20'!I79</f>
        <v>117.91999999999999</v>
      </c>
      <c r="C37" s="149"/>
      <c r="D37" s="149"/>
      <c r="E37" s="149"/>
      <c r="F37" s="128">
        <f>'Vodafone Apr-Jun 20'!G12+'Vodafone Apr-Jun 20'!G28+'Vodafone Apr-Jun 20'!G44</f>
        <v>95.070000000000007</v>
      </c>
      <c r="G37" s="150">
        <f>SUM(C37:F37)-B37</f>
        <v>-22.84999999999998</v>
      </c>
      <c r="H37" s="385">
        <f>G37</f>
        <v>-22.84999999999998</v>
      </c>
      <c r="I37" s="274" t="s">
        <v>239</v>
      </c>
      <c r="J37" s="155" t="s">
        <v>282</v>
      </c>
    </row>
    <row r="38" spans="1:10" x14ac:dyDescent="0.2">
      <c r="A38" s="127" t="s">
        <v>272</v>
      </c>
      <c r="B38" s="154"/>
      <c r="C38" s="149"/>
      <c r="D38" s="149"/>
      <c r="E38" s="149"/>
      <c r="F38" s="128"/>
      <c r="G38" s="150">
        <f>SUM(C38:F38)-B38</f>
        <v>0</v>
      </c>
      <c r="H38" s="385">
        <f>G38</f>
        <v>0</v>
      </c>
      <c r="I38" s="274"/>
      <c r="J38" s="155"/>
    </row>
    <row r="39" spans="1:10" ht="13.5" thickBot="1" x14ac:dyDescent="0.25">
      <c r="A39" s="158" t="s">
        <v>253</v>
      </c>
      <c r="B39" s="174">
        <f>SUM(B34:B38)</f>
        <v>2277.1400000000003</v>
      </c>
      <c r="C39" s="174">
        <f t="shared" ref="C39:G39" si="4">SUM(C34:C38)</f>
        <v>0</v>
      </c>
      <c r="D39" s="174">
        <f t="shared" si="4"/>
        <v>0</v>
      </c>
      <c r="E39" s="174">
        <f t="shared" si="4"/>
        <v>285.3</v>
      </c>
      <c r="F39" s="174">
        <f t="shared" si="4"/>
        <v>1968.99</v>
      </c>
      <c r="G39" s="171">
        <f t="shared" si="4"/>
        <v>-22.84999999999998</v>
      </c>
      <c r="H39" s="171">
        <f>SUM(H34:H38)</f>
        <v>-22.84999999999998</v>
      </c>
      <c r="I39" s="175"/>
      <c r="J39" s="176"/>
    </row>
    <row r="40" spans="1:10" ht="13.5" thickTop="1" x14ac:dyDescent="0.2">
      <c r="A40" s="163" t="s">
        <v>254</v>
      </c>
    </row>
    <row r="41" spans="1:10" x14ac:dyDescent="0.2">
      <c r="B41" s="177"/>
      <c r="E41" s="177"/>
    </row>
    <row r="42" spans="1:10" ht="15" x14ac:dyDescent="0.2">
      <c r="A42" s="178"/>
      <c r="I42" s="177"/>
    </row>
    <row r="43" spans="1:10" ht="15" x14ac:dyDescent="0.2">
      <c r="A43" s="179"/>
      <c r="E43" s="180" t="s">
        <v>273</v>
      </c>
      <c r="G43" s="177"/>
      <c r="I43" s="177"/>
    </row>
    <row r="44" spans="1:10" ht="15" x14ac:dyDescent="0.25">
      <c r="A44" s="181" t="s">
        <v>283</v>
      </c>
      <c r="B44" s="182"/>
      <c r="C44" s="183"/>
      <c r="D44" s="183"/>
      <c r="E44" s="184">
        <f>B21+B29+B39</f>
        <v>2333.5000000000005</v>
      </c>
      <c r="G44" s="177"/>
      <c r="I44" s="177"/>
    </row>
    <row r="45" spans="1:10" ht="15" x14ac:dyDescent="0.25">
      <c r="A45" s="181" t="s">
        <v>275</v>
      </c>
      <c r="B45" s="182"/>
      <c r="C45" s="183"/>
      <c r="D45" s="183"/>
      <c r="E45" s="184">
        <f>H21+H29+H39</f>
        <v>-22.84999999999998</v>
      </c>
      <c r="G45" s="177"/>
      <c r="I45" s="177"/>
    </row>
    <row r="46" spans="1:10" ht="15" x14ac:dyDescent="0.25">
      <c r="A46" s="181"/>
      <c r="B46" s="182"/>
      <c r="C46" s="183"/>
      <c r="D46" s="183"/>
      <c r="E46" s="184"/>
      <c r="I46" s="177"/>
    </row>
    <row r="47" spans="1:10" ht="15.75" thickBot="1" x14ac:dyDescent="0.3">
      <c r="A47" s="185" t="s">
        <v>284</v>
      </c>
      <c r="B47" s="186"/>
      <c r="C47" s="186"/>
      <c r="D47" s="186"/>
      <c r="E47" s="187">
        <f>SUM(E44:E46)</f>
        <v>2310.6500000000005</v>
      </c>
    </row>
    <row r="48" spans="1:10" x14ac:dyDescent="0.2">
      <c r="I48" s="177"/>
    </row>
    <row r="49" spans="2:9" x14ac:dyDescent="0.2">
      <c r="E49" s="188"/>
      <c r="I49" s="177"/>
    </row>
    <row r="50" spans="2:9" x14ac:dyDescent="0.2">
      <c r="I50" s="177"/>
    </row>
    <row r="51" spans="2:9" x14ac:dyDescent="0.2">
      <c r="D51" s="189" t="s">
        <v>277</v>
      </c>
      <c r="I51" s="177"/>
    </row>
    <row r="52" spans="2:9" x14ac:dyDescent="0.2">
      <c r="G52" s="188"/>
      <c r="H52" s="231"/>
      <c r="I52" s="177"/>
    </row>
    <row r="53" spans="2:9" x14ac:dyDescent="0.2">
      <c r="D53" t="s">
        <v>278</v>
      </c>
      <c r="E53" s="188">
        <f>'Summary and sign-off '!B11+'Summary and sign-off '!B12+'Summary and sign-off '!B13</f>
        <v>167.78000000000003</v>
      </c>
      <c r="H53" s="231"/>
      <c r="I53" s="177"/>
    </row>
    <row r="54" spans="2:9" x14ac:dyDescent="0.2">
      <c r="B54" s="190"/>
      <c r="C54" s="22"/>
      <c r="D54" s="191"/>
      <c r="E54" s="192"/>
      <c r="G54" s="177"/>
      <c r="H54" s="231"/>
      <c r="I54" s="177"/>
    </row>
    <row r="55" spans="2:9" x14ac:dyDescent="0.2">
      <c r="B55" s="190"/>
      <c r="D55" t="s">
        <v>279</v>
      </c>
      <c r="E55" s="193">
        <f>E47</f>
        <v>2310.6500000000005</v>
      </c>
      <c r="G55" s="177"/>
      <c r="H55" s="231"/>
      <c r="I55" s="177"/>
    </row>
    <row r="57" spans="2:9" x14ac:dyDescent="0.2">
      <c r="D57" s="194" t="s">
        <v>280</v>
      </c>
      <c r="E57" s="195">
        <f>E53-E55</f>
        <v>-2142.8700000000003</v>
      </c>
      <c r="H57" s="177"/>
    </row>
    <row r="59" spans="2:9" x14ac:dyDescent="0.2">
      <c r="H59" s="177"/>
    </row>
  </sheetData>
  <pageMargins left="0.19685039370078741" right="0.27559055118110237" top="0.44" bottom="0.56000000000000005" header="0.31496062992125984" footer="0.31496062992125984"/>
  <pageSetup paperSize="8" scale="87" fitToHeight="3" orientation="landscape" r:id="rId1"/>
  <headerFooter>
    <oddFooter>&amp;L&amp;8&amp;Z&amp;F&amp;A&amp;R&amp;8&amp;D&amp;T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220D-5AF4-4096-A2CA-58143EA7AF60}">
  <sheetPr>
    <tabColor theme="7"/>
  </sheetPr>
  <dimension ref="A1:AB100"/>
  <sheetViews>
    <sheetView showGridLines="0" workbookViewId="0">
      <pane ySplit="7" topLeftCell="A8" activePane="bottomLeft" state="frozen"/>
      <selection pane="bottomLeft" activeCell="AB78" sqref="AB78"/>
    </sheetView>
  </sheetViews>
  <sheetFormatPr defaultColWidth="9.140625" defaultRowHeight="15" x14ac:dyDescent="0.25"/>
  <cols>
    <col min="1" max="1" width="8.140625" style="445" customWidth="1"/>
    <col min="2" max="2" width="8.85546875" style="445" customWidth="1"/>
    <col min="3" max="3" width="11.28515625" style="445" customWidth="1"/>
    <col min="4" max="4" width="8.7109375" style="445" customWidth="1"/>
    <col min="5" max="5" width="33.7109375" style="445" customWidth="1"/>
    <col min="6" max="6" width="6.7109375" style="445" customWidth="1"/>
    <col min="7" max="7" width="17.28515625" style="445" customWidth="1"/>
    <col min="8" max="8" width="3.85546875" style="445" customWidth="1"/>
    <col min="9" max="9" width="0.140625" style="445" customWidth="1"/>
    <col min="10" max="10" width="15" style="445" customWidth="1"/>
    <col min="11" max="11" width="8.85546875" style="445" customWidth="1"/>
    <col min="12" max="12" width="6.7109375" style="445" customWidth="1"/>
    <col min="13" max="13" width="2.140625" style="445" customWidth="1"/>
    <col min="14" max="14" width="7.85546875" style="445" customWidth="1"/>
    <col min="15" max="15" width="8.5703125" style="445" customWidth="1"/>
    <col min="16" max="16" width="9.140625" style="445" customWidth="1"/>
    <col min="17" max="17" width="8.5703125" style="445" customWidth="1"/>
    <col min="18" max="19" width="0.28515625" style="445" customWidth="1"/>
    <col min="20" max="20" width="9.28515625" style="445" customWidth="1"/>
    <col min="21" max="21" width="1.28515625" style="445" customWidth="1"/>
    <col min="22" max="22" width="4" style="445" customWidth="1"/>
    <col min="23" max="23" width="2.42578125" style="445" customWidth="1"/>
    <col min="24" max="24" width="0" style="445" hidden="1" customWidth="1"/>
    <col min="25" max="25" width="1.5703125" style="445" customWidth="1"/>
    <col min="26" max="26" width="0" style="445" hidden="1" customWidth="1"/>
    <col min="27" max="27" width="0.28515625" style="445" customWidth="1"/>
    <col min="28" max="16384" width="9.140625" style="445"/>
  </cols>
  <sheetData>
    <row r="1" spans="1:25" ht="12" customHeight="1" x14ac:dyDescent="0.25">
      <c r="A1" s="827" t="s">
        <v>285</v>
      </c>
      <c r="B1" s="828"/>
      <c r="C1" s="828"/>
      <c r="D1" s="828"/>
      <c r="E1" s="828"/>
      <c r="T1" s="829" t="s">
        <v>286</v>
      </c>
      <c r="U1" s="828"/>
      <c r="V1" s="828"/>
      <c r="W1" s="828"/>
    </row>
    <row r="2" spans="1:25" ht="12" customHeight="1" x14ac:dyDescent="0.25">
      <c r="A2" s="830" t="s">
        <v>287</v>
      </c>
      <c r="B2" s="828"/>
      <c r="C2" s="828"/>
      <c r="D2" s="828"/>
      <c r="E2" s="828"/>
      <c r="V2" s="446" t="s">
        <v>288</v>
      </c>
      <c r="W2" s="447">
        <v>1</v>
      </c>
    </row>
    <row r="3" spans="1:25" ht="0" hidden="1" customHeight="1" x14ac:dyDescent="0.25"/>
    <row r="4" spans="1:25" ht="12" customHeight="1" x14ac:dyDescent="0.25">
      <c r="A4" s="830" t="s">
        <v>289</v>
      </c>
      <c r="B4" s="828"/>
      <c r="C4" s="828"/>
      <c r="D4" s="828"/>
      <c r="E4" s="828"/>
      <c r="R4" s="829" t="s">
        <v>290</v>
      </c>
      <c r="S4" s="828"/>
      <c r="T4" s="828"/>
      <c r="U4" s="828"/>
      <c r="V4" s="828"/>
      <c r="W4" s="828"/>
    </row>
    <row r="5" spans="1:25" ht="9.1999999999999993" customHeight="1" x14ac:dyDescent="0.25"/>
    <row r="6" spans="1:25" ht="12" customHeight="1" x14ac:dyDescent="0.25">
      <c r="A6" s="831" t="s">
        <v>291</v>
      </c>
      <c r="B6" s="828"/>
      <c r="C6" s="828"/>
      <c r="D6" s="828"/>
      <c r="E6" s="828"/>
      <c r="F6" s="828"/>
      <c r="G6" s="828"/>
      <c r="H6" s="828"/>
      <c r="I6" s="828"/>
    </row>
    <row r="7" spans="1:25" ht="15" customHeight="1" x14ac:dyDescent="0.25"/>
    <row r="8" spans="1:25" ht="12" customHeight="1" x14ac:dyDescent="0.25">
      <c r="A8" s="831" t="s">
        <v>292</v>
      </c>
      <c r="B8" s="828"/>
      <c r="C8" s="828"/>
      <c r="D8" s="828"/>
      <c r="E8" s="828"/>
      <c r="F8" s="828"/>
      <c r="G8" s="828"/>
      <c r="H8" s="828"/>
      <c r="I8" s="828"/>
      <c r="J8" s="828"/>
      <c r="K8" s="828"/>
      <c r="L8" s="828"/>
    </row>
    <row r="9" spans="1:25" ht="12" customHeight="1" x14ac:dyDescent="0.25">
      <c r="A9" s="833" t="s">
        <v>293</v>
      </c>
      <c r="B9" s="828"/>
      <c r="C9" s="828"/>
      <c r="D9" s="828"/>
      <c r="E9" s="828"/>
      <c r="F9" s="828"/>
      <c r="G9" s="828"/>
      <c r="H9" s="828"/>
      <c r="I9" s="833" t="s">
        <v>293</v>
      </c>
      <c r="J9" s="828"/>
      <c r="K9" s="828"/>
      <c r="L9" s="828"/>
    </row>
    <row r="10" spans="1:25" ht="0" hidden="1" customHeight="1" x14ac:dyDescent="0.25"/>
    <row r="11" spans="1:25" ht="6" customHeight="1" x14ac:dyDescent="0.25"/>
    <row r="12" spans="1:25" ht="2.25" customHeight="1" x14ac:dyDescent="0.25">
      <c r="H12" s="832" t="s">
        <v>293</v>
      </c>
      <c r="I12" s="828"/>
      <c r="J12" s="828"/>
      <c r="K12" s="828"/>
      <c r="L12" s="828"/>
      <c r="M12" s="828"/>
      <c r="N12" s="828"/>
      <c r="O12" s="828"/>
      <c r="P12" s="828"/>
      <c r="Q12" s="828"/>
      <c r="R12" s="828"/>
      <c r="S12" s="828"/>
      <c r="T12" s="828"/>
      <c r="U12" s="828"/>
      <c r="V12" s="828"/>
      <c r="W12" s="828"/>
      <c r="X12" s="828"/>
      <c r="Y12" s="828"/>
    </row>
    <row r="13" spans="1:25" ht="19.5" x14ac:dyDescent="0.25">
      <c r="A13" s="448" t="s">
        <v>294</v>
      </c>
      <c r="B13" s="448" t="s">
        <v>295</v>
      </c>
      <c r="C13" s="448" t="s">
        <v>296</v>
      </c>
      <c r="D13" s="832" t="s">
        <v>185</v>
      </c>
      <c r="E13" s="828"/>
      <c r="F13" s="828"/>
      <c r="G13" s="448" t="s">
        <v>297</v>
      </c>
      <c r="H13" s="832" t="s">
        <v>298</v>
      </c>
      <c r="I13" s="828"/>
      <c r="J13" s="828"/>
      <c r="K13" s="448" t="s">
        <v>299</v>
      </c>
      <c r="L13" s="832" t="s">
        <v>300</v>
      </c>
      <c r="M13" s="828"/>
      <c r="N13" s="448" t="s">
        <v>301</v>
      </c>
      <c r="O13" s="448" t="s">
        <v>302</v>
      </c>
      <c r="P13" s="448" t="s">
        <v>303</v>
      </c>
      <c r="Q13" s="834" t="s">
        <v>304</v>
      </c>
      <c r="R13" s="828"/>
      <c r="S13" s="834" t="s">
        <v>305</v>
      </c>
      <c r="T13" s="828"/>
      <c r="U13" s="834" t="s">
        <v>306</v>
      </c>
      <c r="V13" s="828"/>
      <c r="W13" s="828"/>
      <c r="X13" s="828"/>
      <c r="Y13" s="828"/>
    </row>
    <row r="14" spans="1:25" ht="12" customHeight="1" x14ac:dyDescent="0.25">
      <c r="A14" s="832" t="s">
        <v>293</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row>
    <row r="15" spans="1:25" ht="12" customHeight="1" x14ac:dyDescent="0.25">
      <c r="A15" s="835" t="s">
        <v>307</v>
      </c>
      <c r="B15" s="836"/>
      <c r="C15" s="553" t="s">
        <v>293</v>
      </c>
      <c r="D15" s="553" t="s">
        <v>308</v>
      </c>
      <c r="E15" s="835" t="s">
        <v>309</v>
      </c>
      <c r="F15" s="836"/>
      <c r="G15" s="836"/>
      <c r="H15" s="837" t="s">
        <v>293</v>
      </c>
      <c r="I15" s="838"/>
      <c r="J15" s="838"/>
      <c r="K15" s="838"/>
      <c r="L15" s="838"/>
      <c r="M15" s="838"/>
      <c r="N15" s="838"/>
      <c r="O15" s="838"/>
      <c r="P15" s="838"/>
      <c r="Q15" s="838"/>
      <c r="R15" s="838"/>
      <c r="S15" s="838"/>
      <c r="T15" s="838"/>
      <c r="U15" s="839">
        <v>0</v>
      </c>
      <c r="V15" s="838"/>
      <c r="W15" s="838"/>
      <c r="X15" s="838"/>
      <c r="Y15" s="838"/>
    </row>
    <row r="16" spans="1:25" x14ac:dyDescent="0.25">
      <c r="A16" s="450" t="s">
        <v>310</v>
      </c>
      <c r="B16" s="446" t="s">
        <v>311</v>
      </c>
      <c r="C16" s="450" t="s">
        <v>312</v>
      </c>
      <c r="D16" s="840" t="s">
        <v>313</v>
      </c>
      <c r="E16" s="828"/>
      <c r="F16" s="828"/>
      <c r="G16" s="446" t="s">
        <v>314</v>
      </c>
      <c r="H16" s="830" t="s">
        <v>315</v>
      </c>
      <c r="I16" s="828"/>
      <c r="J16" s="828"/>
      <c r="K16" s="446" t="s">
        <v>316</v>
      </c>
      <c r="L16" s="830" t="s">
        <v>317</v>
      </c>
      <c r="M16" s="828"/>
      <c r="N16" s="446" t="s">
        <v>318</v>
      </c>
      <c r="O16" s="446" t="s">
        <v>293</v>
      </c>
      <c r="P16" s="446" t="s">
        <v>293</v>
      </c>
      <c r="Q16" s="841">
        <v>146.25</v>
      </c>
      <c r="R16" s="828"/>
      <c r="S16" s="841">
        <v>975</v>
      </c>
      <c r="T16" s="828"/>
      <c r="U16" s="842">
        <v>975</v>
      </c>
      <c r="V16" s="828"/>
      <c r="W16" s="828"/>
      <c r="X16" s="828"/>
      <c r="Y16" s="828"/>
    </row>
    <row r="17" spans="1:28" x14ac:dyDescent="0.25">
      <c r="A17" s="450" t="s">
        <v>310</v>
      </c>
      <c r="B17" s="446" t="s">
        <v>311</v>
      </c>
      <c r="C17" s="450" t="s">
        <v>312</v>
      </c>
      <c r="D17" s="840" t="s">
        <v>319</v>
      </c>
      <c r="E17" s="828"/>
      <c r="F17" s="828"/>
      <c r="G17" s="446" t="s">
        <v>314</v>
      </c>
      <c r="H17" s="830" t="s">
        <v>315</v>
      </c>
      <c r="I17" s="828"/>
      <c r="J17" s="828"/>
      <c r="K17" s="446" t="s">
        <v>316</v>
      </c>
      <c r="L17" s="830" t="s">
        <v>317</v>
      </c>
      <c r="M17" s="828"/>
      <c r="N17" s="446" t="s">
        <v>318</v>
      </c>
      <c r="O17" s="446" t="s">
        <v>293</v>
      </c>
      <c r="P17" s="446" t="s">
        <v>293</v>
      </c>
      <c r="Q17" s="841">
        <v>318.75</v>
      </c>
      <c r="R17" s="828"/>
      <c r="S17" s="841">
        <v>2125</v>
      </c>
      <c r="T17" s="828"/>
      <c r="U17" s="842">
        <v>3100</v>
      </c>
      <c r="V17" s="828"/>
      <c r="W17" s="828"/>
      <c r="X17" s="828"/>
      <c r="Y17" s="828"/>
    </row>
    <row r="18" spans="1:28" x14ac:dyDescent="0.25">
      <c r="A18" s="450" t="s">
        <v>320</v>
      </c>
      <c r="B18" s="446" t="s">
        <v>311</v>
      </c>
      <c r="C18" s="450" t="s">
        <v>321</v>
      </c>
      <c r="D18" s="840" t="s">
        <v>322</v>
      </c>
      <c r="E18" s="828"/>
      <c r="F18" s="828"/>
      <c r="G18" s="446" t="s">
        <v>314</v>
      </c>
      <c r="H18" s="830" t="s">
        <v>323</v>
      </c>
      <c r="I18" s="828"/>
      <c r="J18" s="828"/>
      <c r="K18" s="446" t="s">
        <v>316</v>
      </c>
      <c r="L18" s="830" t="s">
        <v>317</v>
      </c>
      <c r="M18" s="828"/>
      <c r="N18" s="446" t="s">
        <v>318</v>
      </c>
      <c r="O18" s="446" t="s">
        <v>293</v>
      </c>
      <c r="P18" s="446" t="s">
        <v>293</v>
      </c>
      <c r="Q18" s="841">
        <v>502.5</v>
      </c>
      <c r="R18" s="828"/>
      <c r="S18" s="841">
        <v>3350</v>
      </c>
      <c r="T18" s="828"/>
      <c r="U18" s="842">
        <v>6450</v>
      </c>
      <c r="V18" s="828"/>
      <c r="W18" s="828"/>
      <c r="X18" s="828"/>
      <c r="Y18" s="828"/>
    </row>
    <row r="19" spans="1:28" x14ac:dyDescent="0.25">
      <c r="A19" s="450" t="s">
        <v>324</v>
      </c>
      <c r="B19" s="446" t="s">
        <v>325</v>
      </c>
      <c r="C19" s="450" t="s">
        <v>326</v>
      </c>
      <c r="D19" s="840" t="s">
        <v>327</v>
      </c>
      <c r="E19" s="828"/>
      <c r="F19" s="828"/>
      <c r="G19" s="446" t="s">
        <v>293</v>
      </c>
      <c r="H19" s="830" t="s">
        <v>293</v>
      </c>
      <c r="I19" s="828"/>
      <c r="J19" s="828"/>
      <c r="K19" s="446" t="s">
        <v>316</v>
      </c>
      <c r="L19" s="830" t="s">
        <v>317</v>
      </c>
      <c r="M19" s="828"/>
      <c r="N19" s="446" t="s">
        <v>318</v>
      </c>
      <c r="O19" s="446" t="s">
        <v>293</v>
      </c>
      <c r="P19" s="446" t="s">
        <v>293</v>
      </c>
      <c r="Q19" s="841">
        <v>0</v>
      </c>
      <c r="R19" s="828"/>
      <c r="S19" s="841">
        <v>10350</v>
      </c>
      <c r="T19" s="828"/>
      <c r="U19" s="842">
        <v>16800</v>
      </c>
      <c r="V19" s="828"/>
      <c r="W19" s="828"/>
      <c r="X19" s="828"/>
      <c r="Y19" s="828"/>
    </row>
    <row r="20" spans="1:28" x14ac:dyDescent="0.25">
      <c r="A20" s="831" t="s">
        <v>293</v>
      </c>
      <c r="B20" s="828"/>
      <c r="C20" s="828"/>
      <c r="D20" s="828"/>
      <c r="E20" s="831" t="s">
        <v>309</v>
      </c>
      <c r="F20" s="828"/>
      <c r="G20" s="828"/>
      <c r="H20" s="831" t="s">
        <v>293</v>
      </c>
      <c r="I20" s="828"/>
      <c r="J20" s="828"/>
      <c r="K20" s="828"/>
      <c r="L20" s="828"/>
      <c r="M20" s="828"/>
      <c r="N20" s="449" t="s">
        <v>293</v>
      </c>
      <c r="O20" s="449" t="s">
        <v>293</v>
      </c>
      <c r="P20" s="449" t="s">
        <v>293</v>
      </c>
      <c r="Q20" s="843">
        <v>967.5</v>
      </c>
      <c r="R20" s="828"/>
      <c r="S20" s="843">
        <v>16800</v>
      </c>
      <c r="T20" s="828"/>
      <c r="U20" s="843">
        <v>16800</v>
      </c>
      <c r="V20" s="828"/>
      <c r="W20" s="828"/>
      <c r="X20" s="828"/>
      <c r="Y20" s="828"/>
    </row>
    <row r="21" spans="1:28" ht="24" customHeight="1" x14ac:dyDescent="0.25">
      <c r="A21" s="833" t="s">
        <v>293</v>
      </c>
      <c r="B21" s="828"/>
      <c r="C21" s="828"/>
      <c r="D21" s="828"/>
      <c r="E21" s="828"/>
      <c r="F21" s="828"/>
      <c r="G21" s="828"/>
      <c r="H21" s="828"/>
      <c r="I21" s="828"/>
      <c r="J21" s="828"/>
      <c r="K21" s="828"/>
      <c r="L21" s="828"/>
      <c r="M21" s="828"/>
      <c r="N21" s="828"/>
      <c r="O21" s="828"/>
      <c r="P21" s="828"/>
      <c r="Q21" s="828"/>
      <c r="R21" s="828"/>
      <c r="S21" s="828"/>
      <c r="T21" s="828"/>
      <c r="U21" s="828"/>
      <c r="V21" s="828"/>
      <c r="W21" s="828"/>
      <c r="X21" s="828"/>
      <c r="Y21" s="828"/>
    </row>
    <row r="22" spans="1:28" ht="12" customHeight="1" x14ac:dyDescent="0.25">
      <c r="A22" s="835" t="s">
        <v>307</v>
      </c>
      <c r="B22" s="836"/>
      <c r="C22" s="553" t="s">
        <v>293</v>
      </c>
      <c r="D22" s="553" t="s">
        <v>328</v>
      </c>
      <c r="E22" s="835" t="s">
        <v>329</v>
      </c>
      <c r="F22" s="836"/>
      <c r="G22" s="836"/>
      <c r="H22" s="837" t="s">
        <v>293</v>
      </c>
      <c r="I22" s="838"/>
      <c r="J22" s="838"/>
      <c r="K22" s="838"/>
      <c r="L22" s="838"/>
      <c r="M22" s="838"/>
      <c r="N22" s="838"/>
      <c r="O22" s="838"/>
      <c r="P22" s="838"/>
      <c r="Q22" s="838"/>
      <c r="R22" s="838"/>
      <c r="S22" s="838"/>
      <c r="T22" s="838"/>
      <c r="U22" s="839">
        <v>0</v>
      </c>
      <c r="V22" s="838"/>
      <c r="W22" s="838"/>
      <c r="X22" s="838"/>
      <c r="Y22" s="838"/>
    </row>
    <row r="23" spans="1:28" s="453" customFormat="1" x14ac:dyDescent="0.25">
      <c r="A23" s="451" t="s">
        <v>330</v>
      </c>
      <c r="B23" s="452" t="s">
        <v>325</v>
      </c>
      <c r="C23" s="451" t="s">
        <v>331</v>
      </c>
      <c r="D23" s="844" t="s">
        <v>332</v>
      </c>
      <c r="E23" s="845"/>
      <c r="F23" s="845"/>
      <c r="G23" s="452" t="s">
        <v>293</v>
      </c>
      <c r="H23" s="846" t="s">
        <v>293</v>
      </c>
      <c r="I23" s="845"/>
      <c r="J23" s="845"/>
      <c r="K23" s="452" t="s">
        <v>316</v>
      </c>
      <c r="L23" s="846" t="s">
        <v>317</v>
      </c>
      <c r="M23" s="845"/>
      <c r="N23" s="452" t="s">
        <v>333</v>
      </c>
      <c r="O23" s="452" t="s">
        <v>293</v>
      </c>
      <c r="P23" s="452" t="s">
        <v>293</v>
      </c>
      <c r="Q23" s="847">
        <v>104.09</v>
      </c>
      <c r="R23" s="845"/>
      <c r="S23" s="847">
        <v>693.91</v>
      </c>
      <c r="T23" s="845"/>
      <c r="U23" s="848">
        <v>693.91</v>
      </c>
      <c r="V23" s="845"/>
      <c r="W23" s="845"/>
      <c r="X23" s="845"/>
      <c r="Y23" s="845"/>
      <c r="AB23" s="453" t="s">
        <v>334</v>
      </c>
    </row>
    <row r="24" spans="1:28" s="453" customFormat="1" x14ac:dyDescent="0.25">
      <c r="A24" s="451" t="s">
        <v>335</v>
      </c>
      <c r="B24" s="452" t="s">
        <v>325</v>
      </c>
      <c r="C24" s="451" t="s">
        <v>336</v>
      </c>
      <c r="D24" s="844" t="s">
        <v>337</v>
      </c>
      <c r="E24" s="845"/>
      <c r="F24" s="845"/>
      <c r="G24" s="452" t="s">
        <v>293</v>
      </c>
      <c r="H24" s="846" t="s">
        <v>293</v>
      </c>
      <c r="I24" s="845"/>
      <c r="J24" s="845"/>
      <c r="K24" s="452" t="s">
        <v>316</v>
      </c>
      <c r="L24" s="846" t="s">
        <v>317</v>
      </c>
      <c r="M24" s="845"/>
      <c r="N24" s="452" t="s">
        <v>318</v>
      </c>
      <c r="O24" s="452" t="s">
        <v>293</v>
      </c>
      <c r="P24" s="452" t="s">
        <v>293</v>
      </c>
      <c r="Q24" s="847">
        <v>78.260000000000005</v>
      </c>
      <c r="R24" s="845"/>
      <c r="S24" s="847">
        <v>521.74</v>
      </c>
      <c r="T24" s="845"/>
      <c r="U24" s="848">
        <v>1215.6500000000001</v>
      </c>
      <c r="V24" s="845"/>
      <c r="W24" s="845"/>
      <c r="X24" s="845"/>
      <c r="Y24" s="845"/>
      <c r="AB24" s="453" t="s">
        <v>334</v>
      </c>
    </row>
    <row r="25" spans="1:28" x14ac:dyDescent="0.25">
      <c r="A25" s="831" t="s">
        <v>293</v>
      </c>
      <c r="B25" s="828"/>
      <c r="C25" s="828"/>
      <c r="D25" s="828"/>
      <c r="E25" s="831" t="s">
        <v>329</v>
      </c>
      <c r="F25" s="828"/>
      <c r="G25" s="828"/>
      <c r="H25" s="831" t="s">
        <v>293</v>
      </c>
      <c r="I25" s="828"/>
      <c r="J25" s="828"/>
      <c r="K25" s="828"/>
      <c r="L25" s="828"/>
      <c r="M25" s="828"/>
      <c r="N25" s="449" t="s">
        <v>293</v>
      </c>
      <c r="O25" s="449" t="s">
        <v>293</v>
      </c>
      <c r="P25" s="449" t="s">
        <v>293</v>
      </c>
      <c r="Q25" s="843">
        <v>182.35</v>
      </c>
      <c r="R25" s="828"/>
      <c r="S25" s="843">
        <v>1215.6500000000001</v>
      </c>
      <c r="T25" s="828"/>
      <c r="U25" s="843">
        <v>1215.6500000000001</v>
      </c>
      <c r="V25" s="828"/>
      <c r="W25" s="828"/>
      <c r="X25" s="828"/>
      <c r="Y25" s="828"/>
    </row>
    <row r="26" spans="1:28" ht="24" customHeight="1" x14ac:dyDescent="0.25">
      <c r="A26" s="833" t="s">
        <v>293</v>
      </c>
      <c r="B26" s="828"/>
      <c r="C26" s="828"/>
      <c r="D26" s="828"/>
      <c r="E26" s="828"/>
      <c r="F26" s="828"/>
      <c r="G26" s="828"/>
      <c r="H26" s="828"/>
      <c r="I26" s="828"/>
      <c r="J26" s="828"/>
      <c r="K26" s="828"/>
      <c r="L26" s="828"/>
      <c r="M26" s="828"/>
      <c r="N26" s="828"/>
      <c r="O26" s="828"/>
      <c r="P26" s="828"/>
      <c r="Q26" s="828"/>
      <c r="R26" s="828"/>
      <c r="S26" s="828"/>
      <c r="T26" s="828"/>
      <c r="U26" s="828"/>
      <c r="V26" s="828"/>
      <c r="W26" s="828"/>
      <c r="X26" s="828"/>
      <c r="Y26" s="828"/>
    </row>
    <row r="27" spans="1:28" ht="12" customHeight="1" x14ac:dyDescent="0.25">
      <c r="A27" s="835" t="s">
        <v>307</v>
      </c>
      <c r="B27" s="836"/>
      <c r="C27" s="553" t="s">
        <v>293</v>
      </c>
      <c r="D27" s="553" t="s">
        <v>338</v>
      </c>
      <c r="E27" s="835" t="s">
        <v>339</v>
      </c>
      <c r="F27" s="836"/>
      <c r="G27" s="836"/>
      <c r="H27" s="837" t="s">
        <v>293</v>
      </c>
      <c r="I27" s="838"/>
      <c r="J27" s="838"/>
      <c r="K27" s="838"/>
      <c r="L27" s="838"/>
      <c r="M27" s="838"/>
      <c r="N27" s="838"/>
      <c r="O27" s="838"/>
      <c r="P27" s="838"/>
      <c r="Q27" s="838"/>
      <c r="R27" s="838"/>
      <c r="S27" s="838"/>
      <c r="T27" s="838"/>
      <c r="U27" s="839">
        <v>0</v>
      </c>
      <c r="V27" s="838"/>
      <c r="W27" s="838"/>
      <c r="X27" s="838"/>
      <c r="Y27" s="838"/>
    </row>
    <row r="28" spans="1:28" ht="18" x14ac:dyDescent="0.25">
      <c r="A28" s="450" t="s">
        <v>310</v>
      </c>
      <c r="B28" s="446" t="s">
        <v>311</v>
      </c>
      <c r="C28" s="450" t="s">
        <v>340</v>
      </c>
      <c r="D28" s="840" t="s">
        <v>341</v>
      </c>
      <c r="E28" s="828"/>
      <c r="F28" s="828"/>
      <c r="G28" s="446" t="s">
        <v>342</v>
      </c>
      <c r="H28" s="830" t="s">
        <v>343</v>
      </c>
      <c r="I28" s="828"/>
      <c r="J28" s="828"/>
      <c r="K28" s="446" t="s">
        <v>316</v>
      </c>
      <c r="L28" s="830" t="s">
        <v>317</v>
      </c>
      <c r="M28" s="828"/>
      <c r="N28" s="446" t="s">
        <v>318</v>
      </c>
      <c r="O28" s="446" t="s">
        <v>293</v>
      </c>
      <c r="P28" s="446" t="s">
        <v>293</v>
      </c>
      <c r="Q28" s="841">
        <v>26.16</v>
      </c>
      <c r="R28" s="828"/>
      <c r="S28" s="841">
        <v>174.4</v>
      </c>
      <c r="T28" s="828"/>
      <c r="U28" s="842">
        <v>174.4</v>
      </c>
      <c r="V28" s="828"/>
      <c r="W28" s="828"/>
      <c r="X28" s="828"/>
      <c r="Y28" s="828"/>
    </row>
    <row r="29" spans="1:28" x14ac:dyDescent="0.25">
      <c r="A29" s="831" t="s">
        <v>293</v>
      </c>
      <c r="B29" s="828"/>
      <c r="C29" s="828"/>
      <c r="D29" s="828"/>
      <c r="E29" s="831" t="s">
        <v>339</v>
      </c>
      <c r="F29" s="828"/>
      <c r="G29" s="828"/>
      <c r="H29" s="831" t="s">
        <v>293</v>
      </c>
      <c r="I29" s="828"/>
      <c r="J29" s="828"/>
      <c r="K29" s="828"/>
      <c r="L29" s="828"/>
      <c r="M29" s="828"/>
      <c r="N29" s="449" t="s">
        <v>293</v>
      </c>
      <c r="O29" s="449" t="s">
        <v>293</v>
      </c>
      <c r="P29" s="449" t="s">
        <v>293</v>
      </c>
      <c r="Q29" s="843">
        <v>26.16</v>
      </c>
      <c r="R29" s="828"/>
      <c r="S29" s="843">
        <v>174.4</v>
      </c>
      <c r="T29" s="828"/>
      <c r="U29" s="843">
        <v>174.4</v>
      </c>
      <c r="V29" s="828"/>
      <c r="W29" s="828"/>
      <c r="X29" s="828"/>
      <c r="Y29" s="828"/>
    </row>
    <row r="30" spans="1:28" ht="24" customHeight="1" x14ac:dyDescent="0.25">
      <c r="A30" s="833" t="s">
        <v>293</v>
      </c>
      <c r="B30" s="828"/>
      <c r="C30" s="828"/>
      <c r="D30" s="828"/>
      <c r="E30" s="828"/>
      <c r="F30" s="828"/>
      <c r="G30" s="828"/>
      <c r="H30" s="828"/>
      <c r="I30" s="828"/>
      <c r="J30" s="828"/>
      <c r="K30" s="828"/>
      <c r="L30" s="828"/>
      <c r="M30" s="828"/>
      <c r="N30" s="828"/>
      <c r="O30" s="828"/>
      <c r="P30" s="828"/>
      <c r="Q30" s="828"/>
      <c r="R30" s="828"/>
      <c r="S30" s="828"/>
      <c r="T30" s="828"/>
      <c r="U30" s="828"/>
      <c r="V30" s="828"/>
      <c r="W30" s="828"/>
      <c r="X30" s="828"/>
      <c r="Y30" s="828"/>
    </row>
    <row r="31" spans="1:28" ht="12" customHeight="1" x14ac:dyDescent="0.25">
      <c r="A31" s="835" t="s">
        <v>307</v>
      </c>
      <c r="B31" s="836"/>
      <c r="C31" s="553" t="s">
        <v>293</v>
      </c>
      <c r="D31" s="553" t="s">
        <v>344</v>
      </c>
      <c r="E31" s="835" t="s">
        <v>345</v>
      </c>
      <c r="F31" s="836"/>
      <c r="G31" s="836"/>
      <c r="H31" s="837" t="s">
        <v>293</v>
      </c>
      <c r="I31" s="838"/>
      <c r="J31" s="838"/>
      <c r="K31" s="838"/>
      <c r="L31" s="838"/>
      <c r="M31" s="838"/>
      <c r="N31" s="838"/>
      <c r="O31" s="838"/>
      <c r="P31" s="838"/>
      <c r="Q31" s="838"/>
      <c r="R31" s="838"/>
      <c r="S31" s="838"/>
      <c r="T31" s="838"/>
      <c r="U31" s="839">
        <v>0</v>
      </c>
      <c r="V31" s="838"/>
      <c r="W31" s="838"/>
      <c r="X31" s="838"/>
      <c r="Y31" s="838"/>
    </row>
    <row r="32" spans="1:28" s="453" customFormat="1" x14ac:dyDescent="0.25">
      <c r="A32" s="451" t="s">
        <v>346</v>
      </c>
      <c r="B32" s="452" t="s">
        <v>325</v>
      </c>
      <c r="C32" s="451" t="s">
        <v>347</v>
      </c>
      <c r="D32" s="844" t="s">
        <v>348</v>
      </c>
      <c r="E32" s="845"/>
      <c r="F32" s="845"/>
      <c r="G32" s="452" t="s">
        <v>293</v>
      </c>
      <c r="H32" s="846" t="s">
        <v>293</v>
      </c>
      <c r="I32" s="845"/>
      <c r="J32" s="845"/>
      <c r="K32" s="452" t="s">
        <v>316</v>
      </c>
      <c r="L32" s="846" t="s">
        <v>317</v>
      </c>
      <c r="M32" s="845"/>
      <c r="N32" s="452" t="s">
        <v>318</v>
      </c>
      <c r="O32" s="452" t="s">
        <v>293</v>
      </c>
      <c r="P32" s="452" t="s">
        <v>293</v>
      </c>
      <c r="Q32" s="847">
        <v>8.93</v>
      </c>
      <c r="R32" s="845"/>
      <c r="S32" s="847">
        <v>59.57</v>
      </c>
      <c r="T32" s="845"/>
      <c r="U32" s="848">
        <v>59.57</v>
      </c>
      <c r="V32" s="845"/>
      <c r="W32" s="845"/>
      <c r="X32" s="845"/>
      <c r="Y32" s="845"/>
      <c r="AB32" s="453" t="s">
        <v>334</v>
      </c>
    </row>
    <row r="33" spans="1:25" x14ac:dyDescent="0.25">
      <c r="A33" s="450" t="s">
        <v>349</v>
      </c>
      <c r="B33" s="446" t="s">
        <v>325</v>
      </c>
      <c r="C33" s="450" t="s">
        <v>350</v>
      </c>
      <c r="D33" s="840" t="s">
        <v>351</v>
      </c>
      <c r="E33" s="828"/>
      <c r="F33" s="828"/>
      <c r="G33" s="446" t="s">
        <v>293</v>
      </c>
      <c r="H33" s="830" t="s">
        <v>293</v>
      </c>
      <c r="I33" s="828"/>
      <c r="J33" s="828"/>
      <c r="K33" s="446" t="s">
        <v>316</v>
      </c>
      <c r="L33" s="830" t="s">
        <v>317</v>
      </c>
      <c r="M33" s="828"/>
      <c r="N33" s="446" t="s">
        <v>318</v>
      </c>
      <c r="O33" s="446" t="s">
        <v>293</v>
      </c>
      <c r="P33" s="446" t="s">
        <v>293</v>
      </c>
      <c r="Q33" s="841">
        <v>2.4</v>
      </c>
      <c r="R33" s="828"/>
      <c r="S33" s="841">
        <v>16</v>
      </c>
      <c r="T33" s="828"/>
      <c r="U33" s="842">
        <v>75.569999999999993</v>
      </c>
      <c r="V33" s="828"/>
      <c r="W33" s="828"/>
      <c r="X33" s="828"/>
      <c r="Y33" s="828"/>
    </row>
    <row r="34" spans="1:25" x14ac:dyDescent="0.25">
      <c r="A34" s="831" t="s">
        <v>293</v>
      </c>
      <c r="B34" s="828"/>
      <c r="C34" s="828"/>
      <c r="D34" s="828"/>
      <c r="E34" s="831" t="s">
        <v>345</v>
      </c>
      <c r="F34" s="828"/>
      <c r="G34" s="828"/>
      <c r="H34" s="831" t="s">
        <v>293</v>
      </c>
      <c r="I34" s="828"/>
      <c r="J34" s="828"/>
      <c r="K34" s="828"/>
      <c r="L34" s="828"/>
      <c r="M34" s="828"/>
      <c r="N34" s="449" t="s">
        <v>293</v>
      </c>
      <c r="O34" s="449" t="s">
        <v>293</v>
      </c>
      <c r="P34" s="449" t="s">
        <v>293</v>
      </c>
      <c r="Q34" s="843">
        <v>11.33</v>
      </c>
      <c r="R34" s="828"/>
      <c r="S34" s="843">
        <v>75.569999999999993</v>
      </c>
      <c r="T34" s="828"/>
      <c r="U34" s="843">
        <v>75.569999999999993</v>
      </c>
      <c r="V34" s="828"/>
      <c r="W34" s="828"/>
      <c r="X34" s="828"/>
      <c r="Y34" s="828"/>
    </row>
    <row r="35" spans="1:25" ht="24" customHeight="1" x14ac:dyDescent="0.25">
      <c r="A35" s="833" t="s">
        <v>293</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row>
    <row r="36" spans="1:25" ht="12" customHeight="1" x14ac:dyDescent="0.25">
      <c r="A36" s="835" t="s">
        <v>307</v>
      </c>
      <c r="B36" s="836"/>
      <c r="C36" s="553" t="s">
        <v>293</v>
      </c>
      <c r="D36" s="553" t="s">
        <v>352</v>
      </c>
      <c r="E36" s="835" t="s">
        <v>353</v>
      </c>
      <c r="F36" s="836"/>
      <c r="G36" s="836"/>
      <c r="H36" s="837" t="s">
        <v>293</v>
      </c>
      <c r="I36" s="838"/>
      <c r="J36" s="838"/>
      <c r="K36" s="838"/>
      <c r="L36" s="838"/>
      <c r="M36" s="838"/>
      <c r="N36" s="838"/>
      <c r="O36" s="838"/>
      <c r="P36" s="838"/>
      <c r="Q36" s="838"/>
      <c r="R36" s="838"/>
      <c r="S36" s="838"/>
      <c r="T36" s="838"/>
      <c r="U36" s="839">
        <v>0</v>
      </c>
      <c r="V36" s="838"/>
      <c r="W36" s="838"/>
      <c r="X36" s="838"/>
      <c r="Y36" s="838"/>
    </row>
    <row r="37" spans="1:25" ht="18" x14ac:dyDescent="0.25">
      <c r="A37" s="450" t="s">
        <v>354</v>
      </c>
      <c r="B37" s="446" t="s">
        <v>311</v>
      </c>
      <c r="C37" s="450" t="s">
        <v>355</v>
      </c>
      <c r="D37" s="840" t="s">
        <v>356</v>
      </c>
      <c r="E37" s="828"/>
      <c r="F37" s="828"/>
      <c r="G37" s="446" t="s">
        <v>357</v>
      </c>
      <c r="H37" s="830" t="s">
        <v>358</v>
      </c>
      <c r="I37" s="828"/>
      <c r="J37" s="828"/>
      <c r="K37" s="446" t="s">
        <v>316</v>
      </c>
      <c r="L37" s="830" t="s">
        <v>317</v>
      </c>
      <c r="M37" s="828"/>
      <c r="N37" s="446" t="s">
        <v>318</v>
      </c>
      <c r="O37" s="446" t="s">
        <v>293</v>
      </c>
      <c r="P37" s="446" t="s">
        <v>293</v>
      </c>
      <c r="Q37" s="841">
        <v>0</v>
      </c>
      <c r="R37" s="828"/>
      <c r="S37" s="841">
        <v>200</v>
      </c>
      <c r="T37" s="828"/>
      <c r="U37" s="842">
        <v>200</v>
      </c>
      <c r="V37" s="828"/>
      <c r="W37" s="828"/>
      <c r="X37" s="828"/>
      <c r="Y37" s="828"/>
    </row>
    <row r="38" spans="1:25" x14ac:dyDescent="0.25">
      <c r="A38" s="450" t="s">
        <v>354</v>
      </c>
      <c r="B38" s="446" t="s">
        <v>311</v>
      </c>
      <c r="C38" s="450" t="s">
        <v>359</v>
      </c>
      <c r="D38" s="840" t="s">
        <v>360</v>
      </c>
      <c r="E38" s="828"/>
      <c r="F38" s="828"/>
      <c r="G38" s="446" t="s">
        <v>361</v>
      </c>
      <c r="H38" s="830" t="s">
        <v>362</v>
      </c>
      <c r="I38" s="828"/>
      <c r="J38" s="828"/>
      <c r="K38" s="446" t="s">
        <v>316</v>
      </c>
      <c r="L38" s="830" t="s">
        <v>317</v>
      </c>
      <c r="M38" s="828"/>
      <c r="N38" s="446" t="s">
        <v>318</v>
      </c>
      <c r="O38" s="446" t="s">
        <v>293</v>
      </c>
      <c r="P38" s="446" t="s">
        <v>293</v>
      </c>
      <c r="Q38" s="841">
        <v>0</v>
      </c>
      <c r="R38" s="828"/>
      <c r="S38" s="841">
        <v>200</v>
      </c>
      <c r="T38" s="828"/>
      <c r="U38" s="842">
        <v>400</v>
      </c>
      <c r="V38" s="828"/>
      <c r="W38" s="828"/>
      <c r="X38" s="828"/>
      <c r="Y38" s="828"/>
    </row>
    <row r="39" spans="1:25" x14ac:dyDescent="0.25">
      <c r="A39" s="450" t="s">
        <v>354</v>
      </c>
      <c r="B39" s="446" t="s">
        <v>311</v>
      </c>
      <c r="C39" s="450" t="s">
        <v>363</v>
      </c>
      <c r="D39" s="840" t="s">
        <v>360</v>
      </c>
      <c r="E39" s="828"/>
      <c r="F39" s="828"/>
      <c r="G39" s="446" t="s">
        <v>364</v>
      </c>
      <c r="H39" s="830" t="s">
        <v>365</v>
      </c>
      <c r="I39" s="828"/>
      <c r="J39" s="828"/>
      <c r="K39" s="446" t="s">
        <v>316</v>
      </c>
      <c r="L39" s="830" t="s">
        <v>317</v>
      </c>
      <c r="M39" s="828"/>
      <c r="N39" s="446" t="s">
        <v>318</v>
      </c>
      <c r="O39" s="446" t="s">
        <v>293</v>
      </c>
      <c r="P39" s="446" t="s">
        <v>293</v>
      </c>
      <c r="Q39" s="841">
        <v>0</v>
      </c>
      <c r="R39" s="828"/>
      <c r="S39" s="841">
        <v>200</v>
      </c>
      <c r="T39" s="828"/>
      <c r="U39" s="842">
        <v>600</v>
      </c>
      <c r="V39" s="828"/>
      <c r="W39" s="828"/>
      <c r="X39" s="828"/>
      <c r="Y39" s="828"/>
    </row>
    <row r="40" spans="1:25" x14ac:dyDescent="0.25">
      <c r="A40" s="831" t="s">
        <v>293</v>
      </c>
      <c r="B40" s="828"/>
      <c r="C40" s="828"/>
      <c r="D40" s="828"/>
      <c r="E40" s="831" t="s">
        <v>353</v>
      </c>
      <c r="F40" s="828"/>
      <c r="G40" s="828"/>
      <c r="H40" s="831" t="s">
        <v>293</v>
      </c>
      <c r="I40" s="828"/>
      <c r="J40" s="828"/>
      <c r="K40" s="828"/>
      <c r="L40" s="828"/>
      <c r="M40" s="828"/>
      <c r="N40" s="449" t="s">
        <v>293</v>
      </c>
      <c r="O40" s="449" t="s">
        <v>293</v>
      </c>
      <c r="P40" s="449" t="s">
        <v>293</v>
      </c>
      <c r="Q40" s="843">
        <v>0</v>
      </c>
      <c r="R40" s="828"/>
      <c r="S40" s="843">
        <v>600</v>
      </c>
      <c r="T40" s="828"/>
      <c r="U40" s="843">
        <v>600</v>
      </c>
      <c r="V40" s="828"/>
      <c r="W40" s="828"/>
      <c r="X40" s="828"/>
      <c r="Y40" s="828"/>
    </row>
    <row r="41" spans="1:25" ht="24" customHeight="1" x14ac:dyDescent="0.25">
      <c r="A41" s="833" t="s">
        <v>293</v>
      </c>
      <c r="B41" s="828"/>
      <c r="C41" s="828"/>
      <c r="D41" s="828"/>
      <c r="E41" s="828"/>
      <c r="F41" s="828"/>
      <c r="G41" s="828"/>
      <c r="H41" s="828"/>
      <c r="I41" s="828"/>
      <c r="J41" s="828"/>
      <c r="K41" s="828"/>
      <c r="L41" s="828"/>
      <c r="M41" s="828"/>
      <c r="N41" s="828"/>
      <c r="O41" s="828"/>
      <c r="P41" s="828"/>
      <c r="Q41" s="828"/>
      <c r="R41" s="828"/>
      <c r="S41" s="828"/>
      <c r="T41" s="828"/>
      <c r="U41" s="828"/>
      <c r="V41" s="828"/>
      <c r="W41" s="828"/>
      <c r="X41" s="828"/>
      <c r="Y41" s="828"/>
    </row>
    <row r="42" spans="1:25" ht="12" customHeight="1" x14ac:dyDescent="0.25">
      <c r="A42" s="835" t="s">
        <v>307</v>
      </c>
      <c r="B42" s="836"/>
      <c r="C42" s="553" t="s">
        <v>293</v>
      </c>
      <c r="D42" s="553" t="s">
        <v>366</v>
      </c>
      <c r="E42" s="835" t="s">
        <v>367</v>
      </c>
      <c r="F42" s="836"/>
      <c r="G42" s="836"/>
      <c r="H42" s="837" t="s">
        <v>293</v>
      </c>
      <c r="I42" s="838"/>
      <c r="J42" s="838"/>
      <c r="K42" s="838"/>
      <c r="L42" s="838"/>
      <c r="M42" s="838"/>
      <c r="N42" s="838"/>
      <c r="O42" s="838"/>
      <c r="P42" s="838"/>
      <c r="Q42" s="838"/>
      <c r="R42" s="838"/>
      <c r="S42" s="838"/>
      <c r="T42" s="838"/>
      <c r="U42" s="839">
        <v>0</v>
      </c>
      <c r="V42" s="838"/>
      <c r="W42" s="838"/>
      <c r="X42" s="838"/>
      <c r="Y42" s="838"/>
    </row>
    <row r="43" spans="1:25" x14ac:dyDescent="0.25">
      <c r="A43" s="450" t="s">
        <v>368</v>
      </c>
      <c r="B43" s="446" t="s">
        <v>325</v>
      </c>
      <c r="C43" s="450" t="s">
        <v>369</v>
      </c>
      <c r="D43" s="840" t="s">
        <v>370</v>
      </c>
      <c r="E43" s="828"/>
      <c r="F43" s="828"/>
      <c r="G43" s="446" t="s">
        <v>293</v>
      </c>
      <c r="H43" s="830" t="s">
        <v>293</v>
      </c>
      <c r="I43" s="828"/>
      <c r="J43" s="828"/>
      <c r="K43" s="446" t="s">
        <v>316</v>
      </c>
      <c r="L43" s="830" t="s">
        <v>317</v>
      </c>
      <c r="M43" s="828"/>
      <c r="N43" s="446" t="s">
        <v>318</v>
      </c>
      <c r="O43" s="446" t="s">
        <v>293</v>
      </c>
      <c r="P43" s="446" t="s">
        <v>293</v>
      </c>
      <c r="Q43" s="841">
        <v>0</v>
      </c>
      <c r="R43" s="828"/>
      <c r="S43" s="841">
        <v>-695</v>
      </c>
      <c r="T43" s="828"/>
      <c r="U43" s="842">
        <v>-695</v>
      </c>
      <c r="V43" s="828"/>
      <c r="W43" s="828"/>
      <c r="X43" s="828"/>
      <c r="Y43" s="828"/>
    </row>
    <row r="44" spans="1:25" x14ac:dyDescent="0.25">
      <c r="A44" s="450" t="s">
        <v>346</v>
      </c>
      <c r="B44" s="446" t="s">
        <v>311</v>
      </c>
      <c r="C44" s="450" t="s">
        <v>371</v>
      </c>
      <c r="D44" s="840" t="s">
        <v>372</v>
      </c>
      <c r="E44" s="828"/>
      <c r="F44" s="828"/>
      <c r="G44" s="446" t="s">
        <v>373</v>
      </c>
      <c r="H44" s="830" t="s">
        <v>374</v>
      </c>
      <c r="I44" s="828"/>
      <c r="J44" s="828"/>
      <c r="K44" s="446" t="s">
        <v>316</v>
      </c>
      <c r="L44" s="830" t="s">
        <v>317</v>
      </c>
      <c r="M44" s="828"/>
      <c r="N44" s="446" t="s">
        <v>318</v>
      </c>
      <c r="O44" s="446" t="s">
        <v>293</v>
      </c>
      <c r="P44" s="446" t="s">
        <v>293</v>
      </c>
      <c r="Q44" s="841">
        <v>104.25</v>
      </c>
      <c r="R44" s="828"/>
      <c r="S44" s="841">
        <v>695</v>
      </c>
      <c r="T44" s="828"/>
      <c r="U44" s="842">
        <v>0</v>
      </c>
      <c r="V44" s="828"/>
      <c r="W44" s="828"/>
      <c r="X44" s="828"/>
      <c r="Y44" s="828"/>
    </row>
    <row r="45" spans="1:25" x14ac:dyDescent="0.25">
      <c r="A45" s="831" t="s">
        <v>293</v>
      </c>
      <c r="B45" s="828"/>
      <c r="C45" s="828"/>
      <c r="D45" s="828"/>
      <c r="E45" s="831" t="s">
        <v>367</v>
      </c>
      <c r="F45" s="828"/>
      <c r="G45" s="828"/>
      <c r="H45" s="831" t="s">
        <v>293</v>
      </c>
      <c r="I45" s="828"/>
      <c r="J45" s="828"/>
      <c r="K45" s="828"/>
      <c r="L45" s="828"/>
      <c r="M45" s="828"/>
      <c r="N45" s="449" t="s">
        <v>293</v>
      </c>
      <c r="O45" s="449" t="s">
        <v>293</v>
      </c>
      <c r="P45" s="449" t="s">
        <v>293</v>
      </c>
      <c r="Q45" s="843">
        <v>104.25</v>
      </c>
      <c r="R45" s="828"/>
      <c r="S45" s="843">
        <v>0</v>
      </c>
      <c r="T45" s="828"/>
      <c r="U45" s="843">
        <v>0</v>
      </c>
      <c r="V45" s="828"/>
      <c r="W45" s="828"/>
      <c r="X45" s="828"/>
      <c r="Y45" s="828"/>
    </row>
    <row r="46" spans="1:25" ht="24" customHeight="1" x14ac:dyDescent="0.25">
      <c r="A46" s="833" t="s">
        <v>293</v>
      </c>
      <c r="B46" s="828"/>
      <c r="C46" s="828"/>
      <c r="D46" s="828"/>
      <c r="E46" s="828"/>
      <c r="F46" s="828"/>
      <c r="G46" s="828"/>
      <c r="H46" s="828"/>
      <c r="I46" s="828"/>
      <c r="J46" s="828"/>
      <c r="K46" s="828"/>
      <c r="L46" s="828"/>
      <c r="M46" s="828"/>
      <c r="N46" s="828"/>
      <c r="O46" s="828"/>
      <c r="P46" s="828"/>
      <c r="Q46" s="828"/>
      <c r="R46" s="828"/>
      <c r="S46" s="828"/>
      <c r="T46" s="828"/>
      <c r="U46" s="828"/>
      <c r="V46" s="828"/>
      <c r="W46" s="828"/>
      <c r="X46" s="828"/>
      <c r="Y46" s="828"/>
    </row>
    <row r="47" spans="1:25" ht="12" customHeight="1" x14ac:dyDescent="0.25">
      <c r="A47" s="835" t="s">
        <v>307</v>
      </c>
      <c r="B47" s="836"/>
      <c r="C47" s="553" t="s">
        <v>293</v>
      </c>
      <c r="D47" s="553" t="s">
        <v>375</v>
      </c>
      <c r="E47" s="835" t="s">
        <v>376</v>
      </c>
      <c r="F47" s="836"/>
      <c r="G47" s="836"/>
      <c r="H47" s="837" t="s">
        <v>293</v>
      </c>
      <c r="I47" s="838"/>
      <c r="J47" s="838"/>
      <c r="K47" s="838"/>
      <c r="L47" s="838"/>
      <c r="M47" s="838"/>
      <c r="N47" s="838"/>
      <c r="O47" s="838"/>
      <c r="P47" s="838"/>
      <c r="Q47" s="838"/>
      <c r="R47" s="838"/>
      <c r="S47" s="838"/>
      <c r="T47" s="838"/>
      <c r="U47" s="839">
        <v>0</v>
      </c>
      <c r="V47" s="838"/>
      <c r="W47" s="838"/>
      <c r="X47" s="838"/>
      <c r="Y47" s="838"/>
    </row>
    <row r="48" spans="1:25" x14ac:dyDescent="0.25">
      <c r="A48" s="450" t="s">
        <v>377</v>
      </c>
      <c r="B48" s="446" t="s">
        <v>311</v>
      </c>
      <c r="C48" s="450" t="s">
        <v>378</v>
      </c>
      <c r="D48" s="840" t="s">
        <v>379</v>
      </c>
      <c r="E48" s="828"/>
      <c r="F48" s="828"/>
      <c r="G48" s="446" t="s">
        <v>380</v>
      </c>
      <c r="H48" s="830" t="s">
        <v>381</v>
      </c>
      <c r="I48" s="828"/>
      <c r="J48" s="828"/>
      <c r="K48" s="446" t="s">
        <v>316</v>
      </c>
      <c r="L48" s="830" t="s">
        <v>317</v>
      </c>
      <c r="M48" s="828"/>
      <c r="N48" s="446" t="s">
        <v>318</v>
      </c>
      <c r="O48" s="446" t="s">
        <v>293</v>
      </c>
      <c r="P48" s="446" t="s">
        <v>293</v>
      </c>
      <c r="Q48" s="841">
        <v>913.5</v>
      </c>
      <c r="R48" s="828"/>
      <c r="S48" s="841">
        <v>6090</v>
      </c>
      <c r="T48" s="828"/>
      <c r="U48" s="842">
        <v>6090</v>
      </c>
      <c r="V48" s="828"/>
      <c r="W48" s="828"/>
      <c r="X48" s="828"/>
      <c r="Y48" s="828"/>
    </row>
    <row r="49" spans="1:25" x14ac:dyDescent="0.25">
      <c r="A49" s="831" t="s">
        <v>293</v>
      </c>
      <c r="B49" s="828"/>
      <c r="C49" s="828"/>
      <c r="D49" s="828"/>
      <c r="E49" s="831" t="s">
        <v>376</v>
      </c>
      <c r="F49" s="828"/>
      <c r="G49" s="828"/>
      <c r="H49" s="831" t="s">
        <v>293</v>
      </c>
      <c r="I49" s="828"/>
      <c r="J49" s="828"/>
      <c r="K49" s="828"/>
      <c r="L49" s="828"/>
      <c r="M49" s="828"/>
      <c r="N49" s="449" t="s">
        <v>293</v>
      </c>
      <c r="O49" s="449" t="s">
        <v>293</v>
      </c>
      <c r="P49" s="449" t="s">
        <v>293</v>
      </c>
      <c r="Q49" s="843">
        <v>913.5</v>
      </c>
      <c r="R49" s="828"/>
      <c r="S49" s="843">
        <v>6090</v>
      </c>
      <c r="T49" s="828"/>
      <c r="U49" s="843">
        <v>6090</v>
      </c>
      <c r="V49" s="828"/>
      <c r="W49" s="828"/>
      <c r="X49" s="828"/>
      <c r="Y49" s="828"/>
    </row>
    <row r="50" spans="1:25" ht="24" customHeight="1" x14ac:dyDescent="0.25">
      <c r="A50" s="833" t="s">
        <v>293</v>
      </c>
      <c r="B50" s="828"/>
      <c r="C50" s="828"/>
      <c r="D50" s="828"/>
      <c r="E50" s="828"/>
      <c r="F50" s="828"/>
      <c r="G50" s="828"/>
      <c r="H50" s="828"/>
      <c r="I50" s="828"/>
      <c r="J50" s="828"/>
      <c r="K50" s="828"/>
      <c r="L50" s="828"/>
      <c r="M50" s="828"/>
      <c r="N50" s="828"/>
      <c r="O50" s="828"/>
      <c r="P50" s="828"/>
      <c r="Q50" s="828"/>
      <c r="R50" s="828"/>
      <c r="S50" s="828"/>
      <c r="T50" s="828"/>
      <c r="U50" s="828"/>
      <c r="V50" s="828"/>
      <c r="W50" s="828"/>
      <c r="X50" s="828"/>
      <c r="Y50" s="828"/>
    </row>
    <row r="51" spans="1:25" ht="12" customHeight="1" x14ac:dyDescent="0.25">
      <c r="A51" s="835" t="s">
        <v>307</v>
      </c>
      <c r="B51" s="836"/>
      <c r="C51" s="553" t="s">
        <v>293</v>
      </c>
      <c r="D51" s="553" t="s">
        <v>382</v>
      </c>
      <c r="E51" s="835" t="s">
        <v>383</v>
      </c>
      <c r="F51" s="836"/>
      <c r="G51" s="836"/>
      <c r="H51" s="837" t="s">
        <v>293</v>
      </c>
      <c r="I51" s="838"/>
      <c r="J51" s="838"/>
      <c r="K51" s="838"/>
      <c r="L51" s="838"/>
      <c r="M51" s="838"/>
      <c r="N51" s="838"/>
      <c r="O51" s="838"/>
      <c r="P51" s="838"/>
      <c r="Q51" s="838"/>
      <c r="R51" s="838"/>
      <c r="S51" s="838"/>
      <c r="T51" s="838"/>
      <c r="U51" s="839">
        <v>0</v>
      </c>
      <c r="V51" s="838"/>
      <c r="W51" s="838"/>
      <c r="X51" s="838"/>
      <c r="Y51" s="838"/>
    </row>
    <row r="52" spans="1:25" x14ac:dyDescent="0.25">
      <c r="A52" s="450" t="s">
        <v>368</v>
      </c>
      <c r="B52" s="446" t="s">
        <v>325</v>
      </c>
      <c r="C52" s="450" t="s">
        <v>369</v>
      </c>
      <c r="D52" s="840" t="s">
        <v>384</v>
      </c>
      <c r="E52" s="828"/>
      <c r="F52" s="828"/>
      <c r="G52" s="446" t="s">
        <v>293</v>
      </c>
      <c r="H52" s="830" t="s">
        <v>293</v>
      </c>
      <c r="I52" s="828"/>
      <c r="J52" s="828"/>
      <c r="K52" s="446" t="s">
        <v>316</v>
      </c>
      <c r="L52" s="830" t="s">
        <v>385</v>
      </c>
      <c r="M52" s="828"/>
      <c r="N52" s="446" t="s">
        <v>318</v>
      </c>
      <c r="O52" s="446" t="s">
        <v>293</v>
      </c>
      <c r="P52" s="446" t="s">
        <v>293</v>
      </c>
      <c r="Q52" s="841">
        <v>0</v>
      </c>
      <c r="R52" s="828"/>
      <c r="S52" s="841">
        <v>-65.22</v>
      </c>
      <c r="T52" s="828"/>
      <c r="U52" s="842">
        <v>-65.22</v>
      </c>
      <c r="V52" s="828"/>
      <c r="W52" s="828"/>
      <c r="X52" s="828"/>
      <c r="Y52" s="828"/>
    </row>
    <row r="53" spans="1:25" x14ac:dyDescent="0.25">
      <c r="A53" s="831" t="s">
        <v>293</v>
      </c>
      <c r="B53" s="828"/>
      <c r="C53" s="828"/>
      <c r="D53" s="828"/>
      <c r="E53" s="831" t="s">
        <v>383</v>
      </c>
      <c r="F53" s="828"/>
      <c r="G53" s="828"/>
      <c r="H53" s="831" t="s">
        <v>293</v>
      </c>
      <c r="I53" s="828"/>
      <c r="J53" s="828"/>
      <c r="K53" s="828"/>
      <c r="L53" s="828"/>
      <c r="M53" s="828"/>
      <c r="N53" s="449" t="s">
        <v>293</v>
      </c>
      <c r="O53" s="449" t="s">
        <v>293</v>
      </c>
      <c r="P53" s="449" t="s">
        <v>293</v>
      </c>
      <c r="Q53" s="843">
        <v>0</v>
      </c>
      <c r="R53" s="828"/>
      <c r="S53" s="843">
        <v>-65.22</v>
      </c>
      <c r="T53" s="828"/>
      <c r="U53" s="843">
        <v>-65.22</v>
      </c>
      <c r="V53" s="828"/>
      <c r="W53" s="828"/>
      <c r="X53" s="828"/>
      <c r="Y53" s="828"/>
    </row>
    <row r="54" spans="1:25" ht="24" customHeight="1" x14ac:dyDescent="0.25">
      <c r="A54" s="833" t="s">
        <v>293</v>
      </c>
      <c r="B54" s="828"/>
      <c r="C54" s="828"/>
      <c r="D54" s="828"/>
      <c r="E54" s="828"/>
      <c r="F54" s="828"/>
      <c r="G54" s="828"/>
      <c r="H54" s="828"/>
      <c r="I54" s="828"/>
      <c r="J54" s="828"/>
      <c r="K54" s="828"/>
      <c r="L54" s="828"/>
      <c r="M54" s="828"/>
      <c r="N54" s="828"/>
      <c r="O54" s="828"/>
      <c r="P54" s="828"/>
      <c r="Q54" s="828"/>
      <c r="R54" s="828"/>
      <c r="S54" s="828"/>
      <c r="T54" s="828"/>
      <c r="U54" s="828"/>
      <c r="V54" s="828"/>
      <c r="W54" s="828"/>
      <c r="X54" s="828"/>
      <c r="Y54" s="828"/>
    </row>
    <row r="55" spans="1:25" ht="12" customHeight="1" x14ac:dyDescent="0.25">
      <c r="A55" s="835" t="s">
        <v>307</v>
      </c>
      <c r="B55" s="836"/>
      <c r="C55" s="553" t="s">
        <v>293</v>
      </c>
      <c r="D55" s="553" t="s">
        <v>386</v>
      </c>
      <c r="E55" s="835" t="s">
        <v>387</v>
      </c>
      <c r="F55" s="836"/>
      <c r="G55" s="836"/>
      <c r="H55" s="837" t="s">
        <v>293</v>
      </c>
      <c r="I55" s="838"/>
      <c r="J55" s="838"/>
      <c r="K55" s="838"/>
      <c r="L55" s="838"/>
      <c r="M55" s="838"/>
      <c r="N55" s="838"/>
      <c r="O55" s="838"/>
      <c r="P55" s="838"/>
      <c r="Q55" s="838"/>
      <c r="R55" s="838"/>
      <c r="S55" s="838"/>
      <c r="T55" s="838"/>
      <c r="U55" s="839">
        <v>0</v>
      </c>
      <c r="V55" s="838"/>
      <c r="W55" s="838"/>
      <c r="X55" s="838"/>
      <c r="Y55" s="838"/>
    </row>
    <row r="56" spans="1:25" x14ac:dyDescent="0.25">
      <c r="A56" s="450" t="s">
        <v>388</v>
      </c>
      <c r="B56" s="446" t="s">
        <v>325</v>
      </c>
      <c r="C56" s="450" t="s">
        <v>389</v>
      </c>
      <c r="D56" s="840" t="s">
        <v>390</v>
      </c>
      <c r="E56" s="828"/>
      <c r="F56" s="828"/>
      <c r="G56" s="446" t="s">
        <v>293</v>
      </c>
      <c r="H56" s="830" t="s">
        <v>293</v>
      </c>
      <c r="I56" s="828"/>
      <c r="J56" s="828"/>
      <c r="K56" s="446" t="s">
        <v>316</v>
      </c>
      <c r="L56" s="830" t="s">
        <v>317</v>
      </c>
      <c r="M56" s="828"/>
      <c r="N56" s="446" t="s">
        <v>318</v>
      </c>
      <c r="O56" s="446" t="s">
        <v>293</v>
      </c>
      <c r="P56" s="446" t="s">
        <v>293</v>
      </c>
      <c r="Q56" s="841">
        <v>1.23</v>
      </c>
      <c r="R56" s="828"/>
      <c r="S56" s="841">
        <v>8.17</v>
      </c>
      <c r="T56" s="828"/>
      <c r="U56" s="842">
        <v>8.17</v>
      </c>
      <c r="V56" s="828"/>
      <c r="W56" s="828"/>
      <c r="X56" s="828"/>
      <c r="Y56" s="828"/>
    </row>
    <row r="57" spans="1:25" x14ac:dyDescent="0.25">
      <c r="A57" s="450" t="s">
        <v>388</v>
      </c>
      <c r="B57" s="446" t="s">
        <v>325</v>
      </c>
      <c r="C57" s="450" t="s">
        <v>391</v>
      </c>
      <c r="D57" s="840" t="s">
        <v>390</v>
      </c>
      <c r="E57" s="828"/>
      <c r="F57" s="828"/>
      <c r="G57" s="446" t="s">
        <v>293</v>
      </c>
      <c r="H57" s="830" t="s">
        <v>293</v>
      </c>
      <c r="I57" s="828"/>
      <c r="J57" s="828"/>
      <c r="K57" s="446" t="s">
        <v>316</v>
      </c>
      <c r="L57" s="830" t="s">
        <v>317</v>
      </c>
      <c r="M57" s="828"/>
      <c r="N57" s="446" t="s">
        <v>318</v>
      </c>
      <c r="O57" s="446" t="s">
        <v>293</v>
      </c>
      <c r="P57" s="446" t="s">
        <v>293</v>
      </c>
      <c r="Q57" s="841">
        <v>1.1299999999999999</v>
      </c>
      <c r="R57" s="828"/>
      <c r="S57" s="841">
        <v>7.57</v>
      </c>
      <c r="T57" s="828"/>
      <c r="U57" s="842">
        <v>15.74</v>
      </c>
      <c r="V57" s="828"/>
      <c r="W57" s="828"/>
      <c r="X57" s="828"/>
      <c r="Y57" s="828"/>
    </row>
    <row r="58" spans="1:25" x14ac:dyDescent="0.25">
      <c r="A58" s="450" t="s">
        <v>349</v>
      </c>
      <c r="B58" s="446" t="s">
        <v>325</v>
      </c>
      <c r="C58" s="450" t="s">
        <v>392</v>
      </c>
      <c r="D58" s="840" t="s">
        <v>393</v>
      </c>
      <c r="E58" s="828"/>
      <c r="F58" s="828"/>
      <c r="G58" s="446" t="s">
        <v>293</v>
      </c>
      <c r="H58" s="830" t="s">
        <v>293</v>
      </c>
      <c r="I58" s="828"/>
      <c r="J58" s="828"/>
      <c r="K58" s="446" t="s">
        <v>316</v>
      </c>
      <c r="L58" s="830" t="s">
        <v>317</v>
      </c>
      <c r="M58" s="828"/>
      <c r="N58" s="446" t="s">
        <v>318</v>
      </c>
      <c r="O58" s="446" t="s">
        <v>293</v>
      </c>
      <c r="P58" s="446" t="s">
        <v>293</v>
      </c>
      <c r="Q58" s="841">
        <v>3.51</v>
      </c>
      <c r="R58" s="828"/>
      <c r="S58" s="841">
        <v>23.39</v>
      </c>
      <c r="T58" s="828"/>
      <c r="U58" s="842">
        <v>39.130000000000003</v>
      </c>
      <c r="V58" s="828"/>
      <c r="W58" s="828"/>
      <c r="X58" s="828"/>
      <c r="Y58" s="828"/>
    </row>
    <row r="59" spans="1:25" x14ac:dyDescent="0.25">
      <c r="A59" s="450" t="s">
        <v>354</v>
      </c>
      <c r="B59" s="446" t="s">
        <v>325</v>
      </c>
      <c r="C59" s="450" t="s">
        <v>394</v>
      </c>
      <c r="D59" s="840" t="s">
        <v>395</v>
      </c>
      <c r="E59" s="828"/>
      <c r="F59" s="828"/>
      <c r="G59" s="446" t="s">
        <v>293</v>
      </c>
      <c r="H59" s="830" t="s">
        <v>293</v>
      </c>
      <c r="I59" s="828"/>
      <c r="J59" s="828"/>
      <c r="K59" s="446" t="s">
        <v>316</v>
      </c>
      <c r="L59" s="830" t="s">
        <v>317</v>
      </c>
      <c r="M59" s="828"/>
      <c r="N59" s="446" t="s">
        <v>318</v>
      </c>
      <c r="O59" s="446" t="s">
        <v>293</v>
      </c>
      <c r="P59" s="446" t="s">
        <v>293</v>
      </c>
      <c r="Q59" s="841">
        <v>4.7</v>
      </c>
      <c r="R59" s="828"/>
      <c r="S59" s="841">
        <v>31.3</v>
      </c>
      <c r="T59" s="828"/>
      <c r="U59" s="842">
        <v>70.430000000000007</v>
      </c>
      <c r="V59" s="828"/>
      <c r="W59" s="828"/>
      <c r="X59" s="828"/>
      <c r="Y59" s="828"/>
    </row>
    <row r="60" spans="1:25" x14ac:dyDescent="0.25">
      <c r="A60" s="450" t="s">
        <v>354</v>
      </c>
      <c r="B60" s="446" t="s">
        <v>325</v>
      </c>
      <c r="C60" s="450" t="s">
        <v>396</v>
      </c>
      <c r="D60" s="840" t="s">
        <v>397</v>
      </c>
      <c r="E60" s="828"/>
      <c r="F60" s="828"/>
      <c r="G60" s="446" t="s">
        <v>293</v>
      </c>
      <c r="H60" s="830" t="s">
        <v>293</v>
      </c>
      <c r="I60" s="828"/>
      <c r="J60" s="828"/>
      <c r="K60" s="446" t="s">
        <v>316</v>
      </c>
      <c r="L60" s="830" t="s">
        <v>317</v>
      </c>
      <c r="M60" s="828"/>
      <c r="N60" s="446" t="s">
        <v>318</v>
      </c>
      <c r="O60" s="446" t="s">
        <v>293</v>
      </c>
      <c r="P60" s="446" t="s">
        <v>293</v>
      </c>
      <c r="Q60" s="841">
        <v>-8.89</v>
      </c>
      <c r="R60" s="828"/>
      <c r="S60" s="841">
        <v>-59.3</v>
      </c>
      <c r="T60" s="828"/>
      <c r="U60" s="842">
        <v>11.13</v>
      </c>
      <c r="V60" s="828"/>
      <c r="W60" s="828"/>
      <c r="X60" s="828"/>
      <c r="Y60" s="828"/>
    </row>
    <row r="61" spans="1:25" x14ac:dyDescent="0.25">
      <c r="A61" s="831" t="s">
        <v>293</v>
      </c>
      <c r="B61" s="828"/>
      <c r="C61" s="828"/>
      <c r="D61" s="828"/>
      <c r="E61" s="831" t="s">
        <v>387</v>
      </c>
      <c r="F61" s="828"/>
      <c r="G61" s="828"/>
      <c r="H61" s="831" t="s">
        <v>293</v>
      </c>
      <c r="I61" s="828"/>
      <c r="J61" s="828"/>
      <c r="K61" s="828"/>
      <c r="L61" s="828"/>
      <c r="M61" s="828"/>
      <c r="N61" s="449" t="s">
        <v>293</v>
      </c>
      <c r="O61" s="449" t="s">
        <v>293</v>
      </c>
      <c r="P61" s="449" t="s">
        <v>293</v>
      </c>
      <c r="Q61" s="843">
        <v>1.68</v>
      </c>
      <c r="R61" s="828"/>
      <c r="S61" s="843">
        <v>11.13</v>
      </c>
      <c r="T61" s="828"/>
      <c r="U61" s="843">
        <v>11.13</v>
      </c>
      <c r="V61" s="828"/>
      <c r="W61" s="828"/>
      <c r="X61" s="828"/>
      <c r="Y61" s="828"/>
    </row>
    <row r="62" spans="1:25" ht="24" customHeight="1" x14ac:dyDescent="0.25">
      <c r="A62" s="833" t="s">
        <v>293</v>
      </c>
      <c r="B62" s="828"/>
      <c r="C62" s="828"/>
      <c r="D62" s="828"/>
      <c r="E62" s="828"/>
      <c r="F62" s="828"/>
      <c r="G62" s="828"/>
      <c r="H62" s="828"/>
      <c r="I62" s="828"/>
      <c r="J62" s="828"/>
      <c r="K62" s="828"/>
      <c r="L62" s="828"/>
      <c r="M62" s="828"/>
      <c r="N62" s="828"/>
      <c r="O62" s="828"/>
      <c r="P62" s="828"/>
      <c r="Q62" s="828"/>
      <c r="R62" s="828"/>
      <c r="S62" s="828"/>
      <c r="T62" s="828"/>
      <c r="U62" s="828"/>
      <c r="V62" s="828"/>
      <c r="W62" s="828"/>
      <c r="X62" s="828"/>
      <c r="Y62" s="828"/>
    </row>
    <row r="63" spans="1:25" ht="12" customHeight="1" x14ac:dyDescent="0.25">
      <c r="A63" s="835" t="s">
        <v>307</v>
      </c>
      <c r="B63" s="836"/>
      <c r="C63" s="553" t="s">
        <v>293</v>
      </c>
      <c r="D63" s="553" t="s">
        <v>398</v>
      </c>
      <c r="E63" s="835" t="s">
        <v>399</v>
      </c>
      <c r="F63" s="836"/>
      <c r="G63" s="836"/>
      <c r="H63" s="837" t="s">
        <v>293</v>
      </c>
      <c r="I63" s="838"/>
      <c r="J63" s="838"/>
      <c r="K63" s="838"/>
      <c r="L63" s="838"/>
      <c r="M63" s="838"/>
      <c r="N63" s="838"/>
      <c r="O63" s="838"/>
      <c r="P63" s="838"/>
      <c r="Q63" s="838"/>
      <c r="R63" s="838"/>
      <c r="S63" s="838"/>
      <c r="T63" s="838"/>
      <c r="U63" s="839">
        <v>0</v>
      </c>
      <c r="V63" s="838"/>
      <c r="W63" s="838"/>
      <c r="X63" s="838"/>
      <c r="Y63" s="838"/>
    </row>
    <row r="64" spans="1:25" x14ac:dyDescent="0.25">
      <c r="A64" s="450" t="s">
        <v>335</v>
      </c>
      <c r="B64" s="446" t="s">
        <v>311</v>
      </c>
      <c r="C64" s="450" t="s">
        <v>400</v>
      </c>
      <c r="D64" s="840" t="s">
        <v>401</v>
      </c>
      <c r="E64" s="828"/>
      <c r="F64" s="828"/>
      <c r="G64" s="446" t="s">
        <v>402</v>
      </c>
      <c r="H64" s="830" t="s">
        <v>403</v>
      </c>
      <c r="I64" s="828"/>
      <c r="J64" s="828"/>
      <c r="K64" s="446" t="s">
        <v>316</v>
      </c>
      <c r="L64" s="830" t="s">
        <v>317</v>
      </c>
      <c r="M64" s="828"/>
      <c r="N64" s="446" t="s">
        <v>318</v>
      </c>
      <c r="O64" s="446" t="s">
        <v>293</v>
      </c>
      <c r="P64" s="446" t="s">
        <v>293</v>
      </c>
      <c r="Q64" s="841">
        <v>67.33</v>
      </c>
      <c r="R64" s="828"/>
      <c r="S64" s="841">
        <v>448.89</v>
      </c>
      <c r="T64" s="828"/>
      <c r="U64" s="842">
        <v>448.89</v>
      </c>
      <c r="V64" s="828"/>
      <c r="W64" s="828"/>
      <c r="X64" s="828"/>
      <c r="Y64" s="828"/>
    </row>
    <row r="65" spans="1:27" x14ac:dyDescent="0.25">
      <c r="A65" s="450" t="s">
        <v>404</v>
      </c>
      <c r="B65" s="446" t="s">
        <v>311</v>
      </c>
      <c r="C65" s="450" t="s">
        <v>405</v>
      </c>
      <c r="D65" s="840" t="s">
        <v>399</v>
      </c>
      <c r="E65" s="828"/>
      <c r="F65" s="828"/>
      <c r="G65" s="446" t="s">
        <v>406</v>
      </c>
      <c r="H65" s="830" t="s">
        <v>407</v>
      </c>
      <c r="I65" s="828"/>
      <c r="J65" s="828"/>
      <c r="K65" s="446" t="s">
        <v>316</v>
      </c>
      <c r="L65" s="830" t="s">
        <v>317</v>
      </c>
      <c r="M65" s="828"/>
      <c r="N65" s="446" t="s">
        <v>318</v>
      </c>
      <c r="O65" s="446" t="s">
        <v>293</v>
      </c>
      <c r="P65" s="446" t="s">
        <v>293</v>
      </c>
      <c r="Q65" s="841">
        <v>3.85</v>
      </c>
      <c r="R65" s="828"/>
      <c r="S65" s="841">
        <v>25.64</v>
      </c>
      <c r="T65" s="828"/>
      <c r="U65" s="842">
        <v>474.53</v>
      </c>
      <c r="V65" s="828"/>
      <c r="W65" s="828"/>
      <c r="X65" s="828"/>
      <c r="Y65" s="828"/>
    </row>
    <row r="66" spans="1:27" x14ac:dyDescent="0.25">
      <c r="A66" s="450" t="s">
        <v>404</v>
      </c>
      <c r="B66" s="446" t="s">
        <v>311</v>
      </c>
      <c r="C66" s="450" t="s">
        <v>405</v>
      </c>
      <c r="D66" s="840" t="s">
        <v>399</v>
      </c>
      <c r="E66" s="828"/>
      <c r="F66" s="828"/>
      <c r="G66" s="446" t="s">
        <v>406</v>
      </c>
      <c r="H66" s="830" t="s">
        <v>407</v>
      </c>
      <c r="I66" s="828"/>
      <c r="J66" s="828"/>
      <c r="K66" s="446" t="s">
        <v>316</v>
      </c>
      <c r="L66" s="830" t="s">
        <v>317</v>
      </c>
      <c r="M66" s="828"/>
      <c r="N66" s="446" t="s">
        <v>318</v>
      </c>
      <c r="O66" s="446" t="s">
        <v>293</v>
      </c>
      <c r="P66" s="446" t="s">
        <v>293</v>
      </c>
      <c r="Q66" s="841">
        <v>8.1199999999999992</v>
      </c>
      <c r="R66" s="828"/>
      <c r="S66" s="841">
        <v>54.17</v>
      </c>
      <c r="T66" s="828"/>
      <c r="U66" s="842">
        <v>528.70000000000005</v>
      </c>
      <c r="V66" s="828"/>
      <c r="W66" s="828"/>
      <c r="X66" s="828"/>
      <c r="Y66" s="828"/>
    </row>
    <row r="67" spans="1:27" x14ac:dyDescent="0.25">
      <c r="A67" s="450" t="s">
        <v>408</v>
      </c>
      <c r="B67" s="446" t="s">
        <v>325</v>
      </c>
      <c r="C67" s="450" t="s">
        <v>409</v>
      </c>
      <c r="D67" s="840" t="s">
        <v>410</v>
      </c>
      <c r="E67" s="828"/>
      <c r="F67" s="828"/>
      <c r="G67" s="446" t="s">
        <v>293</v>
      </c>
      <c r="H67" s="830" t="s">
        <v>293</v>
      </c>
      <c r="I67" s="828"/>
      <c r="J67" s="828"/>
      <c r="K67" s="446" t="s">
        <v>316</v>
      </c>
      <c r="L67" s="830" t="s">
        <v>411</v>
      </c>
      <c r="M67" s="828"/>
      <c r="N67" s="446" t="s">
        <v>318</v>
      </c>
      <c r="O67" s="446" t="s">
        <v>293</v>
      </c>
      <c r="P67" s="446" t="s">
        <v>293</v>
      </c>
      <c r="Q67" s="841">
        <v>11.79</v>
      </c>
      <c r="R67" s="828"/>
      <c r="S67" s="841">
        <v>78.61</v>
      </c>
      <c r="T67" s="828"/>
      <c r="U67" s="842">
        <v>607.30999999999995</v>
      </c>
      <c r="V67" s="828"/>
      <c r="W67" s="828"/>
      <c r="X67" s="828"/>
      <c r="Y67" s="828"/>
    </row>
    <row r="68" spans="1:27" x14ac:dyDescent="0.25">
      <c r="A68" s="450" t="s">
        <v>408</v>
      </c>
      <c r="B68" s="446" t="s">
        <v>325</v>
      </c>
      <c r="C68" s="450" t="s">
        <v>412</v>
      </c>
      <c r="D68" s="840" t="s">
        <v>413</v>
      </c>
      <c r="E68" s="828"/>
      <c r="F68" s="828"/>
      <c r="G68" s="446" t="s">
        <v>293</v>
      </c>
      <c r="H68" s="830" t="s">
        <v>293</v>
      </c>
      <c r="I68" s="828"/>
      <c r="J68" s="828"/>
      <c r="K68" s="446" t="s">
        <v>316</v>
      </c>
      <c r="L68" s="830" t="s">
        <v>317</v>
      </c>
      <c r="M68" s="828"/>
      <c r="N68" s="446" t="s">
        <v>318</v>
      </c>
      <c r="O68" s="446" t="s">
        <v>293</v>
      </c>
      <c r="P68" s="446" t="s">
        <v>293</v>
      </c>
      <c r="Q68" s="841">
        <v>6.43</v>
      </c>
      <c r="R68" s="828"/>
      <c r="S68" s="841">
        <v>42.87</v>
      </c>
      <c r="T68" s="828"/>
      <c r="U68" s="842">
        <v>650.17999999999995</v>
      </c>
      <c r="V68" s="828"/>
      <c r="W68" s="828"/>
      <c r="X68" s="828"/>
      <c r="Y68" s="828"/>
    </row>
    <row r="69" spans="1:27" x14ac:dyDescent="0.25">
      <c r="A69" s="831" t="s">
        <v>293</v>
      </c>
      <c r="B69" s="828"/>
      <c r="C69" s="828"/>
      <c r="D69" s="828"/>
      <c r="E69" s="831" t="s">
        <v>399</v>
      </c>
      <c r="F69" s="828"/>
      <c r="G69" s="828"/>
      <c r="H69" s="831" t="s">
        <v>293</v>
      </c>
      <c r="I69" s="828"/>
      <c r="J69" s="828"/>
      <c r="K69" s="828"/>
      <c r="L69" s="828"/>
      <c r="M69" s="828"/>
      <c r="N69" s="449" t="s">
        <v>293</v>
      </c>
      <c r="O69" s="449" t="s">
        <v>293</v>
      </c>
      <c r="P69" s="449" t="s">
        <v>293</v>
      </c>
      <c r="Q69" s="843">
        <v>97.52</v>
      </c>
      <c r="R69" s="828"/>
      <c r="S69" s="843">
        <v>650.17999999999995</v>
      </c>
      <c r="T69" s="828"/>
      <c r="U69" s="843">
        <v>650.17999999999995</v>
      </c>
      <c r="V69" s="828"/>
      <c r="W69" s="828"/>
      <c r="X69" s="828"/>
      <c r="Y69" s="828"/>
    </row>
    <row r="70" spans="1:27" ht="24" customHeight="1" x14ac:dyDescent="0.25">
      <c r="A70" s="833" t="s">
        <v>293</v>
      </c>
      <c r="B70" s="828"/>
      <c r="C70" s="828"/>
      <c r="D70" s="828"/>
      <c r="E70" s="828"/>
      <c r="F70" s="828"/>
      <c r="G70" s="828"/>
      <c r="H70" s="828"/>
      <c r="I70" s="828"/>
      <c r="J70" s="828"/>
      <c r="K70" s="828"/>
      <c r="L70" s="828"/>
      <c r="M70" s="828"/>
      <c r="N70" s="828"/>
      <c r="O70" s="828"/>
      <c r="P70" s="828"/>
      <c r="Q70" s="828"/>
      <c r="R70" s="828"/>
      <c r="S70" s="828"/>
      <c r="T70" s="828"/>
      <c r="U70" s="828"/>
      <c r="V70" s="828"/>
      <c r="W70" s="828"/>
      <c r="X70" s="828"/>
      <c r="Y70" s="828"/>
    </row>
    <row r="71" spans="1:27" ht="12" customHeight="1" x14ac:dyDescent="0.25">
      <c r="A71" s="835" t="s">
        <v>307</v>
      </c>
      <c r="B71" s="836"/>
      <c r="C71" s="553" t="s">
        <v>293</v>
      </c>
      <c r="D71" s="553" t="s">
        <v>414</v>
      </c>
      <c r="E71" s="835" t="s">
        <v>415</v>
      </c>
      <c r="F71" s="836"/>
      <c r="G71" s="836"/>
      <c r="H71" s="837" t="s">
        <v>293</v>
      </c>
      <c r="I71" s="838"/>
      <c r="J71" s="838"/>
      <c r="K71" s="838"/>
      <c r="L71" s="838"/>
      <c r="M71" s="838"/>
      <c r="N71" s="838"/>
      <c r="O71" s="838"/>
      <c r="P71" s="838"/>
      <c r="Q71" s="838"/>
      <c r="R71" s="838"/>
      <c r="S71" s="838"/>
      <c r="T71" s="838"/>
      <c r="U71" s="839">
        <v>0</v>
      </c>
      <c r="V71" s="838"/>
      <c r="W71" s="838"/>
      <c r="X71" s="838"/>
      <c r="Y71" s="838"/>
      <c r="Z71" s="835"/>
      <c r="AA71" s="836"/>
    </row>
    <row r="72" spans="1:27" s="453" customFormat="1" x14ac:dyDescent="0.25">
      <c r="A72" s="451" t="s">
        <v>416</v>
      </c>
      <c r="B72" s="452" t="s">
        <v>325</v>
      </c>
      <c r="C72" s="451" t="s">
        <v>417</v>
      </c>
      <c r="D72" s="844" t="s">
        <v>418</v>
      </c>
      <c r="E72" s="845"/>
      <c r="F72" s="845"/>
      <c r="G72" s="452" t="s">
        <v>293</v>
      </c>
      <c r="H72" s="846" t="s">
        <v>293</v>
      </c>
      <c r="I72" s="845"/>
      <c r="J72" s="845"/>
      <c r="K72" s="452" t="s">
        <v>316</v>
      </c>
      <c r="L72" s="846" t="s">
        <v>317</v>
      </c>
      <c r="M72" s="845"/>
      <c r="N72" s="452" t="s">
        <v>333</v>
      </c>
      <c r="O72" s="452" t="s">
        <v>293</v>
      </c>
      <c r="P72" s="452" t="s">
        <v>293</v>
      </c>
      <c r="Q72" s="847">
        <v>1.57</v>
      </c>
      <c r="R72" s="845"/>
      <c r="S72" s="847">
        <v>10.43</v>
      </c>
      <c r="T72" s="845"/>
      <c r="U72" s="848">
        <v>10.43</v>
      </c>
      <c r="V72" s="845"/>
      <c r="W72" s="845"/>
      <c r="X72" s="845"/>
      <c r="Y72" s="845"/>
    </row>
    <row r="73" spans="1:27" s="453" customFormat="1" x14ac:dyDescent="0.25">
      <c r="A73" s="451" t="s">
        <v>419</v>
      </c>
      <c r="B73" s="452" t="s">
        <v>325</v>
      </c>
      <c r="C73" s="451" t="s">
        <v>420</v>
      </c>
      <c r="D73" s="844" t="s">
        <v>418</v>
      </c>
      <c r="E73" s="845"/>
      <c r="F73" s="845"/>
      <c r="G73" s="452" t="s">
        <v>293</v>
      </c>
      <c r="H73" s="846" t="s">
        <v>293</v>
      </c>
      <c r="I73" s="845"/>
      <c r="J73" s="845"/>
      <c r="K73" s="452" t="s">
        <v>316</v>
      </c>
      <c r="L73" s="846" t="s">
        <v>317</v>
      </c>
      <c r="M73" s="845"/>
      <c r="N73" s="452" t="s">
        <v>333</v>
      </c>
      <c r="O73" s="452" t="s">
        <v>293</v>
      </c>
      <c r="P73" s="452" t="s">
        <v>293</v>
      </c>
      <c r="Q73" s="847">
        <v>1.57</v>
      </c>
      <c r="R73" s="845"/>
      <c r="S73" s="847">
        <v>10.43</v>
      </c>
      <c r="T73" s="845"/>
      <c r="U73" s="848">
        <v>20.86</v>
      </c>
      <c r="V73" s="845"/>
      <c r="W73" s="845"/>
      <c r="X73" s="845"/>
      <c r="Y73" s="845"/>
    </row>
    <row r="74" spans="1:27" ht="18" x14ac:dyDescent="0.25">
      <c r="A74" s="450" t="s">
        <v>354</v>
      </c>
      <c r="B74" s="446" t="s">
        <v>311</v>
      </c>
      <c r="C74" s="450" t="s">
        <v>355</v>
      </c>
      <c r="D74" s="840" t="s">
        <v>421</v>
      </c>
      <c r="E74" s="828"/>
      <c r="F74" s="828"/>
      <c r="G74" s="446" t="s">
        <v>357</v>
      </c>
      <c r="H74" s="830" t="s">
        <v>358</v>
      </c>
      <c r="I74" s="828"/>
      <c r="J74" s="828"/>
      <c r="K74" s="446" t="s">
        <v>316</v>
      </c>
      <c r="L74" s="830" t="s">
        <v>317</v>
      </c>
      <c r="M74" s="828"/>
      <c r="N74" s="446" t="s">
        <v>318</v>
      </c>
      <c r="O74" s="446" t="s">
        <v>293</v>
      </c>
      <c r="P74" s="446" t="s">
        <v>293</v>
      </c>
      <c r="Q74" s="841">
        <v>0</v>
      </c>
      <c r="R74" s="828"/>
      <c r="S74" s="841">
        <v>85.32</v>
      </c>
      <c r="T74" s="828"/>
      <c r="U74" s="842">
        <v>106.18</v>
      </c>
      <c r="V74" s="828"/>
      <c r="W74" s="828"/>
      <c r="X74" s="828"/>
      <c r="Y74" s="828"/>
    </row>
    <row r="75" spans="1:27" x14ac:dyDescent="0.25">
      <c r="A75" s="450" t="s">
        <v>354</v>
      </c>
      <c r="B75" s="446" t="s">
        <v>311</v>
      </c>
      <c r="C75" s="450" t="s">
        <v>359</v>
      </c>
      <c r="D75" s="840" t="s">
        <v>422</v>
      </c>
      <c r="E75" s="828"/>
      <c r="F75" s="828"/>
      <c r="G75" s="446" t="s">
        <v>361</v>
      </c>
      <c r="H75" s="830" t="s">
        <v>362</v>
      </c>
      <c r="I75" s="828"/>
      <c r="J75" s="828"/>
      <c r="K75" s="446" t="s">
        <v>316</v>
      </c>
      <c r="L75" s="830" t="s">
        <v>317</v>
      </c>
      <c r="M75" s="828"/>
      <c r="N75" s="446" t="s">
        <v>318</v>
      </c>
      <c r="O75" s="446" t="s">
        <v>293</v>
      </c>
      <c r="P75" s="446" t="s">
        <v>293</v>
      </c>
      <c r="Q75" s="841">
        <v>0</v>
      </c>
      <c r="R75" s="828"/>
      <c r="S75" s="841">
        <v>68.709999999999994</v>
      </c>
      <c r="T75" s="828"/>
      <c r="U75" s="842">
        <v>174.89</v>
      </c>
      <c r="V75" s="828"/>
      <c r="W75" s="828"/>
      <c r="X75" s="828"/>
      <c r="Y75" s="828"/>
    </row>
    <row r="76" spans="1:27" x14ac:dyDescent="0.25">
      <c r="A76" s="450" t="s">
        <v>354</v>
      </c>
      <c r="B76" s="446" t="s">
        <v>311</v>
      </c>
      <c r="C76" s="450" t="s">
        <v>363</v>
      </c>
      <c r="D76" s="840" t="s">
        <v>422</v>
      </c>
      <c r="E76" s="828"/>
      <c r="F76" s="828"/>
      <c r="G76" s="446" t="s">
        <v>364</v>
      </c>
      <c r="H76" s="830" t="s">
        <v>365</v>
      </c>
      <c r="I76" s="828"/>
      <c r="J76" s="828"/>
      <c r="K76" s="446" t="s">
        <v>316</v>
      </c>
      <c r="L76" s="830" t="s">
        <v>317</v>
      </c>
      <c r="M76" s="828"/>
      <c r="N76" s="446" t="s">
        <v>318</v>
      </c>
      <c r="O76" s="446" t="s">
        <v>293</v>
      </c>
      <c r="P76" s="446" t="s">
        <v>293</v>
      </c>
      <c r="Q76" s="841">
        <v>0</v>
      </c>
      <c r="R76" s="828"/>
      <c r="S76" s="841">
        <v>147.72999999999999</v>
      </c>
      <c r="T76" s="828"/>
      <c r="U76" s="842">
        <v>322.62</v>
      </c>
      <c r="V76" s="828"/>
      <c r="W76" s="828"/>
      <c r="X76" s="828"/>
      <c r="Y76" s="828"/>
    </row>
    <row r="77" spans="1:27" x14ac:dyDescent="0.25">
      <c r="A77" s="831" t="s">
        <v>293</v>
      </c>
      <c r="B77" s="828"/>
      <c r="C77" s="828"/>
      <c r="D77" s="828"/>
      <c r="E77" s="831" t="s">
        <v>415</v>
      </c>
      <c r="F77" s="828"/>
      <c r="G77" s="828"/>
      <c r="H77" s="831" t="s">
        <v>293</v>
      </c>
      <c r="I77" s="828"/>
      <c r="J77" s="828"/>
      <c r="K77" s="828"/>
      <c r="L77" s="828"/>
      <c r="M77" s="828"/>
      <c r="N77" s="449" t="s">
        <v>293</v>
      </c>
      <c r="O77" s="449" t="s">
        <v>293</v>
      </c>
      <c r="P77" s="449" t="s">
        <v>293</v>
      </c>
      <c r="Q77" s="843">
        <v>3.14</v>
      </c>
      <c r="R77" s="828"/>
      <c r="S77" s="843">
        <v>322.62</v>
      </c>
      <c r="T77" s="828"/>
      <c r="U77" s="843">
        <v>322.62</v>
      </c>
      <c r="V77" s="828"/>
      <c r="W77" s="828"/>
      <c r="X77" s="828"/>
      <c r="Y77" s="828"/>
    </row>
    <row r="78" spans="1:27" ht="24" customHeight="1" x14ac:dyDescent="0.25">
      <c r="A78" s="833" t="s">
        <v>293</v>
      </c>
      <c r="B78" s="828"/>
      <c r="C78" s="828"/>
      <c r="D78" s="828"/>
      <c r="E78" s="828"/>
      <c r="F78" s="828"/>
      <c r="G78" s="828"/>
      <c r="H78" s="828"/>
      <c r="I78" s="828"/>
      <c r="J78" s="828"/>
      <c r="K78" s="828"/>
      <c r="L78" s="828"/>
      <c r="M78" s="828"/>
      <c r="N78" s="828"/>
      <c r="O78" s="828"/>
      <c r="P78" s="828"/>
      <c r="Q78" s="828"/>
      <c r="R78" s="828"/>
      <c r="S78" s="828"/>
      <c r="T78" s="828"/>
      <c r="U78" s="828"/>
      <c r="V78" s="828"/>
      <c r="W78" s="828"/>
      <c r="X78" s="828"/>
      <c r="Y78" s="828"/>
    </row>
    <row r="79" spans="1:27" ht="12" customHeight="1" x14ac:dyDescent="0.25">
      <c r="A79" s="835" t="s">
        <v>307</v>
      </c>
      <c r="B79" s="836"/>
      <c r="C79" s="553" t="s">
        <v>293</v>
      </c>
      <c r="D79" s="553" t="s">
        <v>423</v>
      </c>
      <c r="E79" s="835" t="s">
        <v>424</v>
      </c>
      <c r="F79" s="836"/>
      <c r="G79" s="836"/>
      <c r="H79" s="837" t="s">
        <v>293</v>
      </c>
      <c r="I79" s="838"/>
      <c r="J79" s="838"/>
      <c r="K79" s="838"/>
      <c r="L79" s="838"/>
      <c r="M79" s="838"/>
      <c r="N79" s="838"/>
      <c r="O79" s="838"/>
      <c r="P79" s="838"/>
      <c r="Q79" s="838"/>
      <c r="R79" s="838"/>
      <c r="S79" s="838"/>
      <c r="T79" s="838"/>
      <c r="U79" s="839">
        <v>0</v>
      </c>
      <c r="V79" s="838"/>
      <c r="W79" s="838"/>
      <c r="X79" s="838"/>
      <c r="Y79" s="838"/>
    </row>
    <row r="80" spans="1:27" x14ac:dyDescent="0.25">
      <c r="A80" s="450" t="s">
        <v>368</v>
      </c>
      <c r="B80" s="446" t="s">
        <v>325</v>
      </c>
      <c r="C80" s="450" t="s">
        <v>369</v>
      </c>
      <c r="D80" s="840" t="s">
        <v>384</v>
      </c>
      <c r="E80" s="828"/>
      <c r="F80" s="828"/>
      <c r="G80" s="446" t="s">
        <v>293</v>
      </c>
      <c r="H80" s="830" t="s">
        <v>293</v>
      </c>
      <c r="I80" s="828"/>
      <c r="J80" s="828"/>
      <c r="K80" s="446" t="s">
        <v>316</v>
      </c>
      <c r="L80" s="830" t="s">
        <v>385</v>
      </c>
      <c r="M80" s="828"/>
      <c r="N80" s="446" t="s">
        <v>318</v>
      </c>
      <c r="O80" s="446" t="s">
        <v>293</v>
      </c>
      <c r="P80" s="446" t="s">
        <v>293</v>
      </c>
      <c r="Q80" s="841">
        <v>0</v>
      </c>
      <c r="R80" s="828"/>
      <c r="S80" s="841">
        <v>8250.0300000000007</v>
      </c>
      <c r="T80" s="828"/>
      <c r="U80" s="842">
        <v>8250.0300000000007</v>
      </c>
      <c r="V80" s="828"/>
      <c r="W80" s="828"/>
      <c r="X80" s="828"/>
      <c r="Y80" s="828"/>
    </row>
    <row r="81" spans="1:25" x14ac:dyDescent="0.25">
      <c r="A81" s="831" t="s">
        <v>293</v>
      </c>
      <c r="B81" s="828"/>
      <c r="C81" s="828"/>
      <c r="D81" s="828"/>
      <c r="E81" s="831" t="s">
        <v>424</v>
      </c>
      <c r="F81" s="828"/>
      <c r="G81" s="828"/>
      <c r="H81" s="831" t="s">
        <v>293</v>
      </c>
      <c r="I81" s="828"/>
      <c r="J81" s="828"/>
      <c r="K81" s="828"/>
      <c r="L81" s="828"/>
      <c r="M81" s="828"/>
      <c r="N81" s="449" t="s">
        <v>293</v>
      </c>
      <c r="O81" s="449" t="s">
        <v>293</v>
      </c>
      <c r="P81" s="449" t="s">
        <v>293</v>
      </c>
      <c r="Q81" s="843">
        <v>0</v>
      </c>
      <c r="R81" s="828"/>
      <c r="S81" s="843">
        <v>8250.0300000000007</v>
      </c>
      <c r="T81" s="828"/>
      <c r="U81" s="843">
        <v>8250.0300000000007</v>
      </c>
      <c r="V81" s="828"/>
      <c r="W81" s="828"/>
      <c r="X81" s="828"/>
      <c r="Y81" s="828"/>
    </row>
    <row r="82" spans="1:25" ht="24" customHeight="1" x14ac:dyDescent="0.25">
      <c r="A82" s="833" t="s">
        <v>293</v>
      </c>
      <c r="B82" s="828"/>
      <c r="C82" s="828"/>
      <c r="D82" s="828"/>
      <c r="E82" s="828"/>
      <c r="F82" s="828"/>
      <c r="G82" s="828"/>
      <c r="H82" s="828"/>
      <c r="I82" s="828"/>
      <c r="J82" s="828"/>
      <c r="K82" s="828"/>
      <c r="L82" s="828"/>
      <c r="M82" s="828"/>
      <c r="N82" s="828"/>
      <c r="O82" s="828"/>
      <c r="P82" s="828"/>
      <c r="Q82" s="828"/>
      <c r="R82" s="828"/>
      <c r="S82" s="828"/>
      <c r="T82" s="828"/>
      <c r="U82" s="828"/>
      <c r="V82" s="828"/>
      <c r="W82" s="828"/>
      <c r="X82" s="828"/>
      <c r="Y82" s="828"/>
    </row>
    <row r="83" spans="1:25" ht="12" customHeight="1" x14ac:dyDescent="0.25">
      <c r="A83" s="835" t="s">
        <v>307</v>
      </c>
      <c r="B83" s="836"/>
      <c r="C83" s="553" t="s">
        <v>293</v>
      </c>
      <c r="D83" s="553" t="s">
        <v>425</v>
      </c>
      <c r="E83" s="835" t="s">
        <v>426</v>
      </c>
      <c r="F83" s="836"/>
      <c r="G83" s="836"/>
      <c r="H83" s="837" t="s">
        <v>293</v>
      </c>
      <c r="I83" s="838"/>
      <c r="J83" s="838"/>
      <c r="K83" s="838"/>
      <c r="L83" s="838"/>
      <c r="M83" s="838"/>
      <c r="N83" s="838"/>
      <c r="O83" s="838"/>
      <c r="P83" s="838"/>
      <c r="Q83" s="838"/>
      <c r="R83" s="838"/>
      <c r="S83" s="838"/>
      <c r="T83" s="838"/>
      <c r="U83" s="839">
        <v>0</v>
      </c>
      <c r="V83" s="838"/>
      <c r="W83" s="838"/>
      <c r="X83" s="838"/>
      <c r="Y83" s="838"/>
    </row>
    <row r="84" spans="1:25" x14ac:dyDescent="0.25">
      <c r="A84" s="450" t="s">
        <v>427</v>
      </c>
      <c r="B84" s="446" t="s">
        <v>311</v>
      </c>
      <c r="C84" s="450" t="s">
        <v>428</v>
      </c>
      <c r="D84" s="840" t="s">
        <v>429</v>
      </c>
      <c r="E84" s="828"/>
      <c r="F84" s="828"/>
      <c r="G84" s="446" t="s">
        <v>430</v>
      </c>
      <c r="H84" s="830" t="s">
        <v>431</v>
      </c>
      <c r="I84" s="828"/>
      <c r="J84" s="828"/>
      <c r="K84" s="446" t="s">
        <v>316</v>
      </c>
      <c r="L84" s="830" t="s">
        <v>317</v>
      </c>
      <c r="M84" s="828"/>
      <c r="N84" s="446" t="s">
        <v>318</v>
      </c>
      <c r="O84" s="446" t="s">
        <v>293</v>
      </c>
      <c r="P84" s="446" t="s">
        <v>293</v>
      </c>
      <c r="Q84" s="841">
        <v>15.14</v>
      </c>
      <c r="R84" s="828"/>
      <c r="S84" s="841">
        <v>100.92</v>
      </c>
      <c r="T84" s="828"/>
      <c r="U84" s="842">
        <v>100.92</v>
      </c>
      <c r="V84" s="828"/>
      <c r="W84" s="828"/>
      <c r="X84" s="828"/>
      <c r="Y84" s="828"/>
    </row>
    <row r="85" spans="1:25" x14ac:dyDescent="0.25">
      <c r="A85" s="831" t="s">
        <v>293</v>
      </c>
      <c r="B85" s="828"/>
      <c r="C85" s="828"/>
      <c r="D85" s="828"/>
      <c r="E85" s="831" t="s">
        <v>426</v>
      </c>
      <c r="F85" s="828"/>
      <c r="G85" s="828"/>
      <c r="H85" s="831" t="s">
        <v>293</v>
      </c>
      <c r="I85" s="828"/>
      <c r="J85" s="828"/>
      <c r="K85" s="828"/>
      <c r="L85" s="828"/>
      <c r="M85" s="828"/>
      <c r="N85" s="449" t="s">
        <v>293</v>
      </c>
      <c r="O85" s="449" t="s">
        <v>293</v>
      </c>
      <c r="P85" s="449" t="s">
        <v>293</v>
      </c>
      <c r="Q85" s="843">
        <v>15.14</v>
      </c>
      <c r="R85" s="828"/>
      <c r="S85" s="843">
        <v>100.92</v>
      </c>
      <c r="T85" s="828"/>
      <c r="U85" s="843">
        <v>100.92</v>
      </c>
      <c r="V85" s="828"/>
      <c r="W85" s="828"/>
      <c r="X85" s="828"/>
      <c r="Y85" s="828"/>
    </row>
    <row r="86" spans="1:25" ht="24" customHeight="1" x14ac:dyDescent="0.25">
      <c r="A86" s="833" t="s">
        <v>293</v>
      </c>
      <c r="B86" s="828"/>
      <c r="C86" s="828"/>
      <c r="D86" s="828"/>
      <c r="E86" s="828"/>
      <c r="F86" s="828"/>
      <c r="G86" s="828"/>
      <c r="H86" s="828"/>
      <c r="I86" s="828"/>
      <c r="J86" s="828"/>
      <c r="K86" s="828"/>
      <c r="L86" s="828"/>
      <c r="M86" s="828"/>
      <c r="N86" s="828"/>
      <c r="O86" s="828"/>
      <c r="P86" s="828"/>
      <c r="Q86" s="828"/>
      <c r="R86" s="828"/>
      <c r="S86" s="828"/>
      <c r="T86" s="828"/>
      <c r="U86" s="828"/>
      <c r="V86" s="828"/>
      <c r="W86" s="828"/>
      <c r="X86" s="828"/>
      <c r="Y86" s="828"/>
    </row>
    <row r="87" spans="1:25" ht="12" customHeight="1" x14ac:dyDescent="0.25">
      <c r="A87" s="835" t="s">
        <v>307</v>
      </c>
      <c r="B87" s="836"/>
      <c r="C87" s="553" t="s">
        <v>293</v>
      </c>
      <c r="D87" s="553" t="s">
        <v>432</v>
      </c>
      <c r="E87" s="835" t="s">
        <v>433</v>
      </c>
      <c r="F87" s="836"/>
      <c r="G87" s="836"/>
      <c r="H87" s="837" t="s">
        <v>293</v>
      </c>
      <c r="I87" s="838"/>
      <c r="J87" s="838"/>
      <c r="K87" s="838"/>
      <c r="L87" s="838"/>
      <c r="M87" s="838"/>
      <c r="N87" s="838"/>
      <c r="O87" s="838"/>
      <c r="P87" s="838"/>
      <c r="Q87" s="838"/>
      <c r="R87" s="838"/>
      <c r="S87" s="838"/>
      <c r="T87" s="838"/>
      <c r="U87" s="839">
        <v>0</v>
      </c>
      <c r="V87" s="838"/>
      <c r="W87" s="838"/>
      <c r="X87" s="838"/>
      <c r="Y87" s="838"/>
    </row>
    <row r="88" spans="1:25" x14ac:dyDescent="0.25">
      <c r="A88" s="450" t="s">
        <v>320</v>
      </c>
      <c r="B88" s="446" t="s">
        <v>311</v>
      </c>
      <c r="C88" s="450" t="s">
        <v>434</v>
      </c>
      <c r="D88" s="840" t="s">
        <v>435</v>
      </c>
      <c r="E88" s="828"/>
      <c r="F88" s="828"/>
      <c r="G88" s="446" t="s">
        <v>314</v>
      </c>
      <c r="H88" s="830" t="s">
        <v>436</v>
      </c>
      <c r="I88" s="828"/>
      <c r="J88" s="828"/>
      <c r="K88" s="446" t="s">
        <v>316</v>
      </c>
      <c r="L88" s="830" t="s">
        <v>317</v>
      </c>
      <c r="M88" s="828"/>
      <c r="N88" s="446" t="s">
        <v>318</v>
      </c>
      <c r="O88" s="446" t="s">
        <v>293</v>
      </c>
      <c r="P88" s="446" t="s">
        <v>293</v>
      </c>
      <c r="Q88" s="841">
        <v>633.75</v>
      </c>
      <c r="R88" s="828"/>
      <c r="S88" s="841">
        <v>4225</v>
      </c>
      <c r="T88" s="828"/>
      <c r="U88" s="842">
        <v>4225</v>
      </c>
      <c r="V88" s="828"/>
      <c r="W88" s="828"/>
      <c r="X88" s="828"/>
      <c r="Y88" s="828"/>
    </row>
    <row r="89" spans="1:25" x14ac:dyDescent="0.25">
      <c r="A89" s="831" t="s">
        <v>293</v>
      </c>
      <c r="B89" s="828"/>
      <c r="C89" s="828"/>
      <c r="D89" s="828"/>
      <c r="E89" s="831" t="s">
        <v>433</v>
      </c>
      <c r="F89" s="828"/>
      <c r="G89" s="828"/>
      <c r="H89" s="831" t="s">
        <v>293</v>
      </c>
      <c r="I89" s="828"/>
      <c r="J89" s="828"/>
      <c r="K89" s="828"/>
      <c r="L89" s="828"/>
      <c r="M89" s="828"/>
      <c r="N89" s="449" t="s">
        <v>293</v>
      </c>
      <c r="O89" s="449" t="s">
        <v>293</v>
      </c>
      <c r="P89" s="449" t="s">
        <v>293</v>
      </c>
      <c r="Q89" s="843">
        <v>633.75</v>
      </c>
      <c r="R89" s="828"/>
      <c r="S89" s="843">
        <v>4225</v>
      </c>
      <c r="T89" s="828"/>
      <c r="U89" s="843">
        <v>4225</v>
      </c>
      <c r="V89" s="828"/>
      <c r="W89" s="828"/>
      <c r="X89" s="828"/>
      <c r="Y89" s="828"/>
    </row>
    <row r="90" spans="1:25" ht="24" customHeight="1" x14ac:dyDescent="0.25">
      <c r="A90" s="833" t="s">
        <v>293</v>
      </c>
      <c r="B90" s="828"/>
      <c r="C90" s="828"/>
      <c r="D90" s="828"/>
      <c r="E90" s="828"/>
      <c r="F90" s="828"/>
      <c r="G90" s="828"/>
      <c r="H90" s="828"/>
      <c r="I90" s="828"/>
      <c r="J90" s="828"/>
      <c r="K90" s="828"/>
      <c r="L90" s="828"/>
      <c r="M90" s="828"/>
      <c r="N90" s="828"/>
      <c r="O90" s="828"/>
      <c r="P90" s="828"/>
      <c r="Q90" s="828"/>
      <c r="R90" s="828"/>
      <c r="S90" s="828"/>
      <c r="T90" s="828"/>
      <c r="U90" s="828"/>
      <c r="V90" s="828"/>
      <c r="W90" s="828"/>
      <c r="X90" s="828"/>
      <c r="Y90" s="828"/>
    </row>
    <row r="91" spans="1:25" ht="12" customHeight="1" x14ac:dyDescent="0.25">
      <c r="A91" s="835" t="s">
        <v>307</v>
      </c>
      <c r="B91" s="836"/>
      <c r="C91" s="553" t="s">
        <v>293</v>
      </c>
      <c r="D91" s="553" t="s">
        <v>437</v>
      </c>
      <c r="E91" s="835" t="s">
        <v>438</v>
      </c>
      <c r="F91" s="836"/>
      <c r="G91" s="836"/>
      <c r="H91" s="837" t="s">
        <v>293</v>
      </c>
      <c r="I91" s="838"/>
      <c r="J91" s="838"/>
      <c r="K91" s="838"/>
      <c r="L91" s="838"/>
      <c r="M91" s="838"/>
      <c r="N91" s="838"/>
      <c r="O91" s="838"/>
      <c r="P91" s="838"/>
      <c r="Q91" s="838"/>
      <c r="R91" s="838"/>
      <c r="S91" s="838"/>
      <c r="T91" s="838"/>
      <c r="U91" s="839">
        <v>0</v>
      </c>
      <c r="V91" s="838"/>
      <c r="W91" s="838"/>
      <c r="X91" s="838"/>
      <c r="Y91" s="838"/>
    </row>
    <row r="92" spans="1:25" x14ac:dyDescent="0.25">
      <c r="A92" s="450" t="s">
        <v>368</v>
      </c>
      <c r="B92" s="446" t="s">
        <v>325</v>
      </c>
      <c r="C92" s="450" t="s">
        <v>369</v>
      </c>
      <c r="D92" s="840" t="s">
        <v>439</v>
      </c>
      <c r="E92" s="828"/>
      <c r="F92" s="828"/>
      <c r="G92" s="446" t="s">
        <v>293</v>
      </c>
      <c r="H92" s="830" t="s">
        <v>293</v>
      </c>
      <c r="I92" s="828"/>
      <c r="J92" s="828"/>
      <c r="K92" s="446" t="s">
        <v>316</v>
      </c>
      <c r="L92" s="830" t="s">
        <v>317</v>
      </c>
      <c r="M92" s="828"/>
      <c r="N92" s="446" t="s">
        <v>318</v>
      </c>
      <c r="O92" s="446" t="s">
        <v>293</v>
      </c>
      <c r="P92" s="446" t="s">
        <v>293</v>
      </c>
      <c r="Q92" s="841">
        <v>0</v>
      </c>
      <c r="R92" s="828"/>
      <c r="S92" s="841">
        <v>-100.92</v>
      </c>
      <c r="T92" s="828"/>
      <c r="U92" s="842">
        <v>-100.92</v>
      </c>
      <c r="V92" s="828"/>
      <c r="W92" s="828"/>
      <c r="X92" s="828"/>
      <c r="Y92" s="828"/>
    </row>
    <row r="93" spans="1:25" x14ac:dyDescent="0.25">
      <c r="A93" s="831" t="s">
        <v>293</v>
      </c>
      <c r="B93" s="828"/>
      <c r="C93" s="828"/>
      <c r="D93" s="828"/>
      <c r="E93" s="831" t="s">
        <v>438</v>
      </c>
      <c r="F93" s="828"/>
      <c r="G93" s="828"/>
      <c r="H93" s="831" t="s">
        <v>293</v>
      </c>
      <c r="I93" s="828"/>
      <c r="J93" s="828"/>
      <c r="K93" s="828"/>
      <c r="L93" s="828"/>
      <c r="M93" s="828"/>
      <c r="N93" s="449" t="s">
        <v>293</v>
      </c>
      <c r="O93" s="449" t="s">
        <v>293</v>
      </c>
      <c r="P93" s="449" t="s">
        <v>293</v>
      </c>
      <c r="Q93" s="843">
        <v>0</v>
      </c>
      <c r="R93" s="828"/>
      <c r="S93" s="843">
        <v>-100.92</v>
      </c>
      <c r="T93" s="828"/>
      <c r="U93" s="843">
        <v>-100.92</v>
      </c>
      <c r="V93" s="828"/>
      <c r="W93" s="828"/>
      <c r="X93" s="828"/>
      <c r="Y93" s="828"/>
    </row>
    <row r="94" spans="1:25" ht="24" customHeight="1" x14ac:dyDescent="0.25">
      <c r="A94" s="833" t="s">
        <v>293</v>
      </c>
      <c r="B94" s="828"/>
      <c r="C94" s="828"/>
      <c r="D94" s="828"/>
      <c r="E94" s="828"/>
      <c r="F94" s="828"/>
      <c r="G94" s="828"/>
      <c r="H94" s="828"/>
      <c r="I94" s="828"/>
      <c r="J94" s="828"/>
      <c r="K94" s="828"/>
      <c r="L94" s="828"/>
      <c r="M94" s="828"/>
      <c r="N94" s="828"/>
      <c r="O94" s="828"/>
      <c r="P94" s="828"/>
      <c r="Q94" s="828"/>
      <c r="R94" s="828"/>
      <c r="S94" s="828"/>
      <c r="T94" s="828"/>
      <c r="U94" s="828"/>
      <c r="V94" s="828"/>
      <c r="W94" s="828"/>
      <c r="X94" s="828"/>
      <c r="Y94" s="828"/>
    </row>
    <row r="95" spans="1:25" ht="12" customHeight="1" x14ac:dyDescent="0.25">
      <c r="A95" s="835" t="s">
        <v>307</v>
      </c>
      <c r="B95" s="836"/>
      <c r="C95" s="553" t="s">
        <v>293</v>
      </c>
      <c r="D95" s="553" t="s">
        <v>440</v>
      </c>
      <c r="E95" s="835" t="s">
        <v>441</v>
      </c>
      <c r="F95" s="836"/>
      <c r="G95" s="836"/>
      <c r="H95" s="837" t="s">
        <v>293</v>
      </c>
      <c r="I95" s="838"/>
      <c r="J95" s="838"/>
      <c r="K95" s="838"/>
      <c r="L95" s="838"/>
      <c r="M95" s="838"/>
      <c r="N95" s="838"/>
      <c r="O95" s="838"/>
      <c r="P95" s="838"/>
      <c r="Q95" s="838"/>
      <c r="R95" s="838"/>
      <c r="S95" s="838"/>
      <c r="T95" s="838"/>
      <c r="U95" s="839">
        <v>0</v>
      </c>
      <c r="V95" s="838"/>
      <c r="W95" s="838"/>
      <c r="X95" s="838"/>
      <c r="Y95" s="838"/>
    </row>
    <row r="96" spans="1:25" x14ac:dyDescent="0.25">
      <c r="A96" s="450" t="s">
        <v>310</v>
      </c>
      <c r="B96" s="446" t="s">
        <v>311</v>
      </c>
      <c r="C96" s="450" t="s">
        <v>442</v>
      </c>
      <c r="D96" s="840" t="s">
        <v>443</v>
      </c>
      <c r="E96" s="828"/>
      <c r="F96" s="828"/>
      <c r="G96" s="446" t="s">
        <v>444</v>
      </c>
      <c r="H96" s="830" t="s">
        <v>445</v>
      </c>
      <c r="I96" s="828"/>
      <c r="J96" s="828"/>
      <c r="K96" s="446" t="s">
        <v>316</v>
      </c>
      <c r="L96" s="830" t="s">
        <v>317</v>
      </c>
      <c r="M96" s="828"/>
      <c r="N96" s="446" t="s">
        <v>318</v>
      </c>
      <c r="O96" s="446" t="s">
        <v>293</v>
      </c>
      <c r="P96" s="446" t="s">
        <v>293</v>
      </c>
      <c r="Q96" s="841">
        <v>175.5</v>
      </c>
      <c r="R96" s="828"/>
      <c r="S96" s="841">
        <v>1170</v>
      </c>
      <c r="T96" s="828"/>
      <c r="U96" s="842">
        <v>1170</v>
      </c>
      <c r="V96" s="828"/>
      <c r="W96" s="828"/>
      <c r="X96" s="828"/>
      <c r="Y96" s="828"/>
    </row>
    <row r="97" spans="1:25" x14ac:dyDescent="0.25">
      <c r="A97" s="831" t="s">
        <v>293</v>
      </c>
      <c r="B97" s="828"/>
      <c r="C97" s="828"/>
      <c r="D97" s="828"/>
      <c r="E97" s="831" t="s">
        <v>441</v>
      </c>
      <c r="F97" s="828"/>
      <c r="G97" s="828"/>
      <c r="H97" s="831" t="s">
        <v>293</v>
      </c>
      <c r="I97" s="828"/>
      <c r="J97" s="828"/>
      <c r="K97" s="828"/>
      <c r="L97" s="828"/>
      <c r="M97" s="828"/>
      <c r="N97" s="449" t="s">
        <v>293</v>
      </c>
      <c r="O97" s="449" t="s">
        <v>293</v>
      </c>
      <c r="P97" s="449" t="s">
        <v>293</v>
      </c>
      <c r="Q97" s="843">
        <v>175.5</v>
      </c>
      <c r="R97" s="828"/>
      <c r="S97" s="843">
        <v>1170</v>
      </c>
      <c r="T97" s="828"/>
      <c r="U97" s="843">
        <v>1170</v>
      </c>
      <c r="V97" s="828"/>
      <c r="W97" s="828"/>
      <c r="X97" s="828"/>
      <c r="Y97" s="828"/>
    </row>
    <row r="98" spans="1:25" ht="24" customHeight="1" x14ac:dyDescent="0.25">
      <c r="A98" s="833" t="s">
        <v>293</v>
      </c>
      <c r="B98" s="828"/>
      <c r="C98" s="828"/>
      <c r="D98" s="828"/>
      <c r="E98" s="828"/>
      <c r="F98" s="828"/>
      <c r="G98" s="828"/>
      <c r="H98" s="828"/>
      <c r="I98" s="828"/>
      <c r="J98" s="828"/>
      <c r="K98" s="828"/>
      <c r="L98" s="828"/>
      <c r="M98" s="828"/>
      <c r="N98" s="828"/>
      <c r="O98" s="828"/>
      <c r="P98" s="828"/>
      <c r="Q98" s="828"/>
      <c r="R98" s="828"/>
      <c r="S98" s="828"/>
      <c r="T98" s="828"/>
      <c r="U98" s="828"/>
      <c r="V98" s="828"/>
      <c r="W98" s="828"/>
      <c r="X98" s="828"/>
      <c r="Y98" s="828"/>
    </row>
    <row r="99" spans="1:25" ht="24" customHeight="1" x14ac:dyDescent="0.25">
      <c r="A99" s="833" t="s">
        <v>293</v>
      </c>
      <c r="B99" s="828"/>
      <c r="C99" s="828"/>
      <c r="D99" s="828"/>
      <c r="E99" s="828"/>
      <c r="F99" s="828"/>
      <c r="G99" s="828"/>
      <c r="H99" s="828"/>
      <c r="I99" s="828"/>
      <c r="J99" s="828"/>
      <c r="K99" s="828"/>
      <c r="L99" s="828"/>
      <c r="M99" s="828"/>
      <c r="N99" s="828"/>
      <c r="O99" s="828"/>
      <c r="P99" s="828"/>
      <c r="Q99" s="828"/>
      <c r="R99" s="828"/>
      <c r="S99" s="828"/>
      <c r="T99" s="828"/>
      <c r="U99" s="828"/>
      <c r="V99" s="828"/>
      <c r="W99" s="828"/>
      <c r="X99" s="828"/>
      <c r="Y99" s="828"/>
    </row>
    <row r="100" spans="1:25" ht="0" hidden="1" customHeight="1" x14ac:dyDescent="0.25"/>
  </sheetData>
  <mergeCells count="411">
    <mergeCell ref="A99:Y99"/>
    <mergeCell ref="Z71:AA71"/>
    <mergeCell ref="A98:Y98"/>
    <mergeCell ref="U96:Y96"/>
    <mergeCell ref="A97:D97"/>
    <mergeCell ref="E97:G97"/>
    <mergeCell ref="H97:M97"/>
    <mergeCell ref="Q97:R97"/>
    <mergeCell ref="S97:T97"/>
    <mergeCell ref="U97:Y97"/>
    <mergeCell ref="A94:Y94"/>
    <mergeCell ref="A95:B95"/>
    <mergeCell ref="E95:G95"/>
    <mergeCell ref="H95:T95"/>
    <mergeCell ref="U95:Y95"/>
    <mergeCell ref="D96:F96"/>
    <mergeCell ref="H96:J96"/>
    <mergeCell ref="L96:M96"/>
    <mergeCell ref="Q96:R96"/>
    <mergeCell ref="S96:T96"/>
    <mergeCell ref="U92:Y92"/>
    <mergeCell ref="A93:D93"/>
    <mergeCell ref="E93:G93"/>
    <mergeCell ref="H93:M93"/>
    <mergeCell ref="Q93:R93"/>
    <mergeCell ref="S93:T93"/>
    <mergeCell ref="U93:Y93"/>
    <mergeCell ref="A90:Y90"/>
    <mergeCell ref="A91:B91"/>
    <mergeCell ref="E91:G91"/>
    <mergeCell ref="H91:T91"/>
    <mergeCell ref="U91:Y91"/>
    <mergeCell ref="D92:F92"/>
    <mergeCell ref="H92:J92"/>
    <mergeCell ref="L92:M92"/>
    <mergeCell ref="Q92:R92"/>
    <mergeCell ref="S92:T92"/>
    <mergeCell ref="U88:Y88"/>
    <mergeCell ref="A89:D89"/>
    <mergeCell ref="E89:G89"/>
    <mergeCell ref="H89:M89"/>
    <mergeCell ref="Q89:R89"/>
    <mergeCell ref="S89:T89"/>
    <mergeCell ref="U89:Y89"/>
    <mergeCell ref="A86:Y86"/>
    <mergeCell ref="A87:B87"/>
    <mergeCell ref="E87:G87"/>
    <mergeCell ref="H87:T87"/>
    <mergeCell ref="U87:Y87"/>
    <mergeCell ref="D88:F88"/>
    <mergeCell ref="H88:J88"/>
    <mergeCell ref="L88:M88"/>
    <mergeCell ref="Q88:R88"/>
    <mergeCell ref="S88:T88"/>
    <mergeCell ref="U84:Y84"/>
    <mergeCell ref="A85:D85"/>
    <mergeCell ref="E85:G85"/>
    <mergeCell ref="H85:M85"/>
    <mergeCell ref="Q85:R85"/>
    <mergeCell ref="S85:T85"/>
    <mergeCell ref="U85:Y85"/>
    <mergeCell ref="A82:Y82"/>
    <mergeCell ref="A83:B83"/>
    <mergeCell ref="E83:G83"/>
    <mergeCell ref="H83:T83"/>
    <mergeCell ref="U83:Y83"/>
    <mergeCell ref="D84:F84"/>
    <mergeCell ref="H84:J84"/>
    <mergeCell ref="L84:M84"/>
    <mergeCell ref="Q84:R84"/>
    <mergeCell ref="S84:T84"/>
    <mergeCell ref="U80:Y80"/>
    <mergeCell ref="A81:D81"/>
    <mergeCell ref="E81:G81"/>
    <mergeCell ref="H81:M81"/>
    <mergeCell ref="Q81:R81"/>
    <mergeCell ref="S81:T81"/>
    <mergeCell ref="U81:Y81"/>
    <mergeCell ref="A78:Y78"/>
    <mergeCell ref="A79:B79"/>
    <mergeCell ref="E79:G79"/>
    <mergeCell ref="H79:T79"/>
    <mergeCell ref="U79:Y79"/>
    <mergeCell ref="D80:F80"/>
    <mergeCell ref="H80:J80"/>
    <mergeCell ref="L80:M80"/>
    <mergeCell ref="Q80:R80"/>
    <mergeCell ref="S80:T80"/>
    <mergeCell ref="A77:D77"/>
    <mergeCell ref="E77:G77"/>
    <mergeCell ref="H77:M77"/>
    <mergeCell ref="Q77:R77"/>
    <mergeCell ref="S77:T77"/>
    <mergeCell ref="U77:Y77"/>
    <mergeCell ref="D76:F76"/>
    <mergeCell ref="H76:J76"/>
    <mergeCell ref="L76:M76"/>
    <mergeCell ref="Q76:R76"/>
    <mergeCell ref="S76:T76"/>
    <mergeCell ref="U76:Y76"/>
    <mergeCell ref="D75:F75"/>
    <mergeCell ref="H75:J75"/>
    <mergeCell ref="L75:M75"/>
    <mergeCell ref="Q75:R75"/>
    <mergeCell ref="S75:T75"/>
    <mergeCell ref="U75:Y75"/>
    <mergeCell ref="D74:F74"/>
    <mergeCell ref="H74:J74"/>
    <mergeCell ref="L74:M74"/>
    <mergeCell ref="Q74:R74"/>
    <mergeCell ref="S74:T74"/>
    <mergeCell ref="U74:Y74"/>
    <mergeCell ref="U72:Y72"/>
    <mergeCell ref="D73:F73"/>
    <mergeCell ref="H73:J73"/>
    <mergeCell ref="L73:M73"/>
    <mergeCell ref="Q73:R73"/>
    <mergeCell ref="S73:T73"/>
    <mergeCell ref="U73:Y73"/>
    <mergeCell ref="A70:Y70"/>
    <mergeCell ref="A71:B71"/>
    <mergeCell ref="E71:G71"/>
    <mergeCell ref="H71:T71"/>
    <mergeCell ref="U71:Y71"/>
    <mergeCell ref="D72:F72"/>
    <mergeCell ref="H72:J72"/>
    <mergeCell ref="L72:M72"/>
    <mergeCell ref="Q72:R72"/>
    <mergeCell ref="S72:T72"/>
    <mergeCell ref="A69:D69"/>
    <mergeCell ref="E69:G69"/>
    <mergeCell ref="H69:M69"/>
    <mergeCell ref="Q69:R69"/>
    <mergeCell ref="S69:T69"/>
    <mergeCell ref="U69:Y69"/>
    <mergeCell ref="D68:F68"/>
    <mergeCell ref="H68:J68"/>
    <mergeCell ref="L68:M68"/>
    <mergeCell ref="Q68:R68"/>
    <mergeCell ref="S68:T68"/>
    <mergeCell ref="U68:Y68"/>
    <mergeCell ref="D67:F67"/>
    <mergeCell ref="H67:J67"/>
    <mergeCell ref="L67:M67"/>
    <mergeCell ref="Q67:R67"/>
    <mergeCell ref="S67:T67"/>
    <mergeCell ref="U67:Y67"/>
    <mergeCell ref="D66:F66"/>
    <mergeCell ref="H66:J66"/>
    <mergeCell ref="L66:M66"/>
    <mergeCell ref="Q66:R66"/>
    <mergeCell ref="S66:T66"/>
    <mergeCell ref="U66:Y66"/>
    <mergeCell ref="U64:Y64"/>
    <mergeCell ref="D65:F65"/>
    <mergeCell ref="H65:J65"/>
    <mergeCell ref="L65:M65"/>
    <mergeCell ref="Q65:R65"/>
    <mergeCell ref="S65:T65"/>
    <mergeCell ref="U65:Y65"/>
    <mergeCell ref="A62:Y62"/>
    <mergeCell ref="A63:B63"/>
    <mergeCell ref="E63:G63"/>
    <mergeCell ref="H63:T63"/>
    <mergeCell ref="U63:Y63"/>
    <mergeCell ref="D64:F64"/>
    <mergeCell ref="H64:J64"/>
    <mergeCell ref="L64:M64"/>
    <mergeCell ref="Q64:R64"/>
    <mergeCell ref="S64:T64"/>
    <mergeCell ref="A61:D61"/>
    <mergeCell ref="E61:G61"/>
    <mergeCell ref="H61:M61"/>
    <mergeCell ref="Q61:R61"/>
    <mergeCell ref="S61:T61"/>
    <mergeCell ref="U61:Y61"/>
    <mergeCell ref="D60:F60"/>
    <mergeCell ref="H60:J60"/>
    <mergeCell ref="L60:M60"/>
    <mergeCell ref="Q60:R60"/>
    <mergeCell ref="S60:T60"/>
    <mergeCell ref="U60:Y60"/>
    <mergeCell ref="D59:F59"/>
    <mergeCell ref="H59:J59"/>
    <mergeCell ref="L59:M59"/>
    <mergeCell ref="Q59:R59"/>
    <mergeCell ref="S59:T59"/>
    <mergeCell ref="U59:Y59"/>
    <mergeCell ref="D58:F58"/>
    <mergeCell ref="H58:J58"/>
    <mergeCell ref="L58:M58"/>
    <mergeCell ref="Q58:R58"/>
    <mergeCell ref="S58:T58"/>
    <mergeCell ref="U58:Y58"/>
    <mergeCell ref="U56:Y56"/>
    <mergeCell ref="D57:F57"/>
    <mergeCell ref="H57:J57"/>
    <mergeCell ref="L57:M57"/>
    <mergeCell ref="Q57:R57"/>
    <mergeCell ref="S57:T57"/>
    <mergeCell ref="U57:Y57"/>
    <mergeCell ref="A54:Y54"/>
    <mergeCell ref="A55:B55"/>
    <mergeCell ref="E55:G55"/>
    <mergeCell ref="H55:T55"/>
    <mergeCell ref="U55:Y55"/>
    <mergeCell ref="D56:F56"/>
    <mergeCell ref="H56:J56"/>
    <mergeCell ref="L56:M56"/>
    <mergeCell ref="Q56:R56"/>
    <mergeCell ref="S56:T56"/>
    <mergeCell ref="U52:Y52"/>
    <mergeCell ref="A53:D53"/>
    <mergeCell ref="E53:G53"/>
    <mergeCell ref="H53:M53"/>
    <mergeCell ref="Q53:R53"/>
    <mergeCell ref="S53:T53"/>
    <mergeCell ref="U53:Y53"/>
    <mergeCell ref="A50:Y50"/>
    <mergeCell ref="A51:B51"/>
    <mergeCell ref="E51:G51"/>
    <mergeCell ref="H51:T51"/>
    <mergeCell ref="U51:Y51"/>
    <mergeCell ref="D52:F52"/>
    <mergeCell ref="H52:J52"/>
    <mergeCell ref="L52:M52"/>
    <mergeCell ref="Q52:R52"/>
    <mergeCell ref="S52:T52"/>
    <mergeCell ref="U48:Y48"/>
    <mergeCell ref="A49:D49"/>
    <mergeCell ref="E49:G49"/>
    <mergeCell ref="H49:M49"/>
    <mergeCell ref="Q49:R49"/>
    <mergeCell ref="S49:T49"/>
    <mergeCell ref="U49:Y49"/>
    <mergeCell ref="A46:Y46"/>
    <mergeCell ref="A47:B47"/>
    <mergeCell ref="E47:G47"/>
    <mergeCell ref="H47:T47"/>
    <mergeCell ref="U47:Y47"/>
    <mergeCell ref="D48:F48"/>
    <mergeCell ref="H48:J48"/>
    <mergeCell ref="L48:M48"/>
    <mergeCell ref="Q48:R48"/>
    <mergeCell ref="S48:T48"/>
    <mergeCell ref="A45:D45"/>
    <mergeCell ref="E45:G45"/>
    <mergeCell ref="H45:M45"/>
    <mergeCell ref="Q45:R45"/>
    <mergeCell ref="S45:T45"/>
    <mergeCell ref="U45:Y45"/>
    <mergeCell ref="U43:Y43"/>
    <mergeCell ref="D44:F44"/>
    <mergeCell ref="H44:J44"/>
    <mergeCell ref="L44:M44"/>
    <mergeCell ref="Q44:R44"/>
    <mergeCell ref="S44:T44"/>
    <mergeCell ref="U44:Y44"/>
    <mergeCell ref="A41:Y41"/>
    <mergeCell ref="A42:B42"/>
    <mergeCell ref="E42:G42"/>
    <mergeCell ref="H42:T42"/>
    <mergeCell ref="U42:Y42"/>
    <mergeCell ref="D43:F43"/>
    <mergeCell ref="H43:J43"/>
    <mergeCell ref="L43:M43"/>
    <mergeCell ref="Q43:R43"/>
    <mergeCell ref="S43:T43"/>
    <mergeCell ref="A40:D40"/>
    <mergeCell ref="E40:G40"/>
    <mergeCell ref="H40:M40"/>
    <mergeCell ref="Q40:R40"/>
    <mergeCell ref="S40:T40"/>
    <mergeCell ref="U40:Y40"/>
    <mergeCell ref="D39:F39"/>
    <mergeCell ref="H39:J39"/>
    <mergeCell ref="L39:M39"/>
    <mergeCell ref="Q39:R39"/>
    <mergeCell ref="S39:T39"/>
    <mergeCell ref="U39:Y39"/>
    <mergeCell ref="U37:Y37"/>
    <mergeCell ref="D38:F38"/>
    <mergeCell ref="H38:J38"/>
    <mergeCell ref="L38:M38"/>
    <mergeCell ref="Q38:R38"/>
    <mergeCell ref="S38:T38"/>
    <mergeCell ref="U38:Y38"/>
    <mergeCell ref="A35:Y35"/>
    <mergeCell ref="A36:B36"/>
    <mergeCell ref="E36:G36"/>
    <mergeCell ref="H36:T36"/>
    <mergeCell ref="U36:Y36"/>
    <mergeCell ref="D37:F37"/>
    <mergeCell ref="H37:J37"/>
    <mergeCell ref="L37:M37"/>
    <mergeCell ref="Q37:R37"/>
    <mergeCell ref="S37:T37"/>
    <mergeCell ref="A34:D34"/>
    <mergeCell ref="E34:G34"/>
    <mergeCell ref="H34:M34"/>
    <mergeCell ref="Q34:R34"/>
    <mergeCell ref="S34:T34"/>
    <mergeCell ref="U34:Y34"/>
    <mergeCell ref="U32:Y32"/>
    <mergeCell ref="D33:F33"/>
    <mergeCell ref="H33:J33"/>
    <mergeCell ref="L33:M33"/>
    <mergeCell ref="Q33:R33"/>
    <mergeCell ref="S33:T33"/>
    <mergeCell ref="U33:Y33"/>
    <mergeCell ref="A30:Y30"/>
    <mergeCell ref="A31:B31"/>
    <mergeCell ref="E31:G31"/>
    <mergeCell ref="H31:T31"/>
    <mergeCell ref="U31:Y31"/>
    <mergeCell ref="D32:F32"/>
    <mergeCell ref="H32:J32"/>
    <mergeCell ref="L32:M32"/>
    <mergeCell ref="Q32:R32"/>
    <mergeCell ref="S32:T32"/>
    <mergeCell ref="U28:Y28"/>
    <mergeCell ref="A29:D29"/>
    <mergeCell ref="E29:G29"/>
    <mergeCell ref="H29:M29"/>
    <mergeCell ref="Q29:R29"/>
    <mergeCell ref="S29:T29"/>
    <mergeCell ref="U29:Y29"/>
    <mergeCell ref="A26:Y26"/>
    <mergeCell ref="A27:B27"/>
    <mergeCell ref="E27:G27"/>
    <mergeCell ref="H27:T27"/>
    <mergeCell ref="U27:Y27"/>
    <mergeCell ref="D28:F28"/>
    <mergeCell ref="H28:J28"/>
    <mergeCell ref="L28:M28"/>
    <mergeCell ref="Q28:R28"/>
    <mergeCell ref="S28:T28"/>
    <mergeCell ref="A25:D25"/>
    <mergeCell ref="E25:G25"/>
    <mergeCell ref="H25:M25"/>
    <mergeCell ref="Q25:R25"/>
    <mergeCell ref="S25:T25"/>
    <mergeCell ref="U25:Y25"/>
    <mergeCell ref="U23:Y23"/>
    <mergeCell ref="D24:F24"/>
    <mergeCell ref="H24:J24"/>
    <mergeCell ref="L24:M24"/>
    <mergeCell ref="Q24:R24"/>
    <mergeCell ref="S24:T24"/>
    <mergeCell ref="U24:Y24"/>
    <mergeCell ref="A21:Y21"/>
    <mergeCell ref="A22:B22"/>
    <mergeCell ref="E22:G22"/>
    <mergeCell ref="H22:T22"/>
    <mergeCell ref="U22:Y22"/>
    <mergeCell ref="D23:F23"/>
    <mergeCell ref="H23:J23"/>
    <mergeCell ref="L23:M23"/>
    <mergeCell ref="Q23:R23"/>
    <mergeCell ref="S23:T23"/>
    <mergeCell ref="A20:D20"/>
    <mergeCell ref="E20:G20"/>
    <mergeCell ref="H20:M20"/>
    <mergeCell ref="Q20:R20"/>
    <mergeCell ref="S20:T20"/>
    <mergeCell ref="U20:Y20"/>
    <mergeCell ref="D19:F19"/>
    <mergeCell ref="H19:J19"/>
    <mergeCell ref="L19:M19"/>
    <mergeCell ref="Q19:R19"/>
    <mergeCell ref="S19:T19"/>
    <mergeCell ref="U19:Y19"/>
    <mergeCell ref="D18:F18"/>
    <mergeCell ref="H18:J18"/>
    <mergeCell ref="L18:M18"/>
    <mergeCell ref="Q18:R18"/>
    <mergeCell ref="S18:T18"/>
    <mergeCell ref="U18:Y18"/>
    <mergeCell ref="U16:Y16"/>
    <mergeCell ref="D17:F17"/>
    <mergeCell ref="H17:J17"/>
    <mergeCell ref="L17:M17"/>
    <mergeCell ref="Q17:R17"/>
    <mergeCell ref="S17:T17"/>
    <mergeCell ref="U17:Y17"/>
    <mergeCell ref="A15:B15"/>
    <mergeCell ref="E15:G15"/>
    <mergeCell ref="H15:T15"/>
    <mergeCell ref="U15:Y15"/>
    <mergeCell ref="D16:F16"/>
    <mergeCell ref="H16:J16"/>
    <mergeCell ref="L16:M16"/>
    <mergeCell ref="Q16:R16"/>
    <mergeCell ref="S16:T16"/>
    <mergeCell ref="A1:E1"/>
    <mergeCell ref="T1:W1"/>
    <mergeCell ref="A2:E2"/>
    <mergeCell ref="A4:E4"/>
    <mergeCell ref="R4:W4"/>
    <mergeCell ref="A6:I6"/>
    <mergeCell ref="A14:Y14"/>
    <mergeCell ref="A8:L8"/>
    <mergeCell ref="A9:H9"/>
    <mergeCell ref="I9:L9"/>
    <mergeCell ref="H12:Y12"/>
    <mergeCell ref="D13:F13"/>
    <mergeCell ref="H13:J13"/>
    <mergeCell ref="L13:M13"/>
    <mergeCell ref="Q13:R13"/>
    <mergeCell ref="S13:T13"/>
    <mergeCell ref="U13:Y13"/>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4791-8722-4951-85F2-713B7151F228}">
  <sheetPr>
    <tabColor theme="7"/>
  </sheetPr>
  <dimension ref="A1:AG205"/>
  <sheetViews>
    <sheetView showGridLines="0" zoomScaleNormal="100" workbookViewId="0">
      <pane ySplit="7" topLeftCell="A50" activePane="bottomLeft" state="frozen"/>
      <selection pane="bottomLeft" activeCell="D59" sqref="D59:F59"/>
    </sheetView>
  </sheetViews>
  <sheetFormatPr defaultColWidth="9.140625" defaultRowHeight="15" x14ac:dyDescent="0.25"/>
  <cols>
    <col min="1" max="1" width="8.140625" style="490" customWidth="1"/>
    <col min="2" max="4" width="8.85546875" style="490" customWidth="1"/>
    <col min="5" max="5" width="16.140625" style="490" customWidth="1"/>
    <col min="6" max="6" width="6.7109375" style="490" customWidth="1"/>
    <col min="7" max="7" width="17.28515625" style="490" customWidth="1"/>
    <col min="8" max="8" width="3.85546875" style="490" customWidth="1"/>
    <col min="9" max="9" width="0.140625" style="490" customWidth="1"/>
    <col min="10" max="10" width="15" style="490" customWidth="1"/>
    <col min="11" max="11" width="8.85546875" style="490" customWidth="1"/>
    <col min="12" max="12" width="6.7109375" style="490" customWidth="1"/>
    <col min="13" max="13" width="2.140625" style="490" customWidth="1"/>
    <col min="14" max="14" width="7.85546875" style="490" customWidth="1"/>
    <col min="15" max="15" width="8.5703125" style="490" customWidth="1"/>
    <col min="16" max="16" width="9.140625" style="490" customWidth="1"/>
    <col min="17" max="17" width="8.5703125" style="490" customWidth="1"/>
    <col min="18" max="19" width="0.28515625" style="490" customWidth="1"/>
    <col min="20" max="20" width="9.28515625" style="490" customWidth="1"/>
    <col min="21" max="21" width="1.28515625" style="490" customWidth="1"/>
    <col min="22" max="22" width="4" style="490" customWidth="1"/>
    <col min="23" max="23" width="2.42578125" style="490" customWidth="1"/>
    <col min="24" max="24" width="0" style="490" hidden="1" customWidth="1"/>
    <col min="25" max="25" width="1.5703125" style="490" customWidth="1"/>
    <col min="26" max="26" width="0" style="490" hidden="1" customWidth="1"/>
    <col min="27" max="27" width="0.28515625" style="490" customWidth="1"/>
    <col min="28" max="16384" width="9.140625" style="490"/>
  </cols>
  <sheetData>
    <row r="1" spans="1:25" ht="12" customHeight="1" x14ac:dyDescent="0.25">
      <c r="A1" s="827" t="s">
        <v>285</v>
      </c>
      <c r="B1" s="828"/>
      <c r="C1" s="828"/>
      <c r="D1" s="828"/>
      <c r="E1" s="828"/>
      <c r="F1" s="445"/>
      <c r="G1" s="445"/>
      <c r="H1" s="445"/>
      <c r="I1" s="445"/>
      <c r="J1" s="445"/>
      <c r="K1" s="445"/>
      <c r="L1" s="445"/>
      <c r="M1" s="445"/>
      <c r="N1" s="445"/>
      <c r="O1" s="445"/>
      <c r="P1" s="445"/>
      <c r="Q1" s="445"/>
      <c r="R1" s="445"/>
      <c r="S1" s="445"/>
      <c r="T1" s="829" t="s">
        <v>446</v>
      </c>
      <c r="U1" s="828"/>
      <c r="V1" s="828"/>
      <c r="W1" s="828"/>
      <c r="X1" s="445"/>
      <c r="Y1" s="445"/>
    </row>
    <row r="2" spans="1:25" ht="12" customHeight="1" x14ac:dyDescent="0.25">
      <c r="A2" s="830" t="s">
        <v>447</v>
      </c>
      <c r="B2" s="828"/>
      <c r="C2" s="828"/>
      <c r="D2" s="828"/>
      <c r="E2" s="828"/>
      <c r="F2" s="445"/>
      <c r="G2" s="445"/>
      <c r="H2" s="445"/>
      <c r="I2" s="445"/>
      <c r="J2" s="445"/>
      <c r="K2" s="445"/>
      <c r="L2" s="445"/>
      <c r="M2" s="445"/>
      <c r="N2" s="445"/>
      <c r="O2" s="445"/>
      <c r="P2" s="445"/>
      <c r="Q2" s="445"/>
      <c r="R2" s="445"/>
      <c r="S2" s="445"/>
      <c r="T2" s="445"/>
      <c r="U2" s="445"/>
      <c r="V2" s="446" t="s">
        <v>288</v>
      </c>
      <c r="W2" s="447">
        <v>1</v>
      </c>
      <c r="X2" s="445"/>
      <c r="Y2" s="445"/>
    </row>
    <row r="3" spans="1:25" ht="0" hidden="1" customHeight="1" x14ac:dyDescent="0.25">
      <c r="A3" s="445"/>
      <c r="B3" s="445"/>
      <c r="C3" s="445"/>
      <c r="D3" s="445"/>
      <c r="E3" s="445"/>
      <c r="F3" s="445"/>
      <c r="G3" s="445"/>
      <c r="H3" s="445"/>
      <c r="I3" s="445"/>
      <c r="J3" s="445"/>
      <c r="K3" s="445"/>
      <c r="L3" s="445"/>
      <c r="M3" s="445"/>
      <c r="N3" s="445"/>
      <c r="O3" s="445"/>
      <c r="P3" s="445"/>
      <c r="Q3" s="445"/>
      <c r="R3" s="445"/>
      <c r="S3" s="445"/>
      <c r="T3" s="445"/>
      <c r="U3" s="445"/>
      <c r="V3" s="445"/>
      <c r="W3" s="445"/>
      <c r="X3" s="445"/>
      <c r="Y3" s="445"/>
    </row>
    <row r="4" spans="1:25" ht="12" customHeight="1" x14ac:dyDescent="0.25">
      <c r="A4" s="830" t="s">
        <v>289</v>
      </c>
      <c r="B4" s="828"/>
      <c r="C4" s="828"/>
      <c r="D4" s="828"/>
      <c r="E4" s="828"/>
      <c r="F4" s="445"/>
      <c r="G4" s="445"/>
      <c r="H4" s="445"/>
      <c r="I4" s="445"/>
      <c r="J4" s="445"/>
      <c r="K4" s="445"/>
      <c r="L4" s="445"/>
      <c r="M4" s="445"/>
      <c r="N4" s="445"/>
      <c r="O4" s="445"/>
      <c r="P4" s="445"/>
      <c r="Q4" s="445"/>
      <c r="R4" s="829" t="s">
        <v>290</v>
      </c>
      <c r="S4" s="828"/>
      <c r="T4" s="828"/>
      <c r="U4" s="828"/>
      <c r="V4" s="828"/>
      <c r="W4" s="828"/>
      <c r="X4" s="445"/>
      <c r="Y4" s="445"/>
    </row>
    <row r="5" spans="1:25" ht="9.1999999999999993" customHeight="1" x14ac:dyDescent="0.25">
      <c r="A5" s="445"/>
      <c r="B5" s="445"/>
      <c r="C5" s="445"/>
      <c r="D5" s="445"/>
      <c r="E5" s="445"/>
      <c r="F5" s="445"/>
      <c r="G5" s="445"/>
      <c r="H5" s="445"/>
      <c r="I5" s="445"/>
      <c r="J5" s="445"/>
      <c r="K5" s="445"/>
      <c r="L5" s="445"/>
      <c r="M5" s="445"/>
      <c r="N5" s="445"/>
      <c r="O5" s="445"/>
      <c r="P5" s="445"/>
      <c r="Q5" s="445"/>
      <c r="R5" s="445"/>
      <c r="S5" s="445"/>
      <c r="T5" s="445"/>
      <c r="U5" s="445"/>
      <c r="V5" s="445"/>
      <c r="W5" s="445"/>
      <c r="X5" s="445"/>
      <c r="Y5" s="445"/>
    </row>
    <row r="6" spans="1:25" ht="12" customHeight="1" x14ac:dyDescent="0.25">
      <c r="A6" s="831" t="s">
        <v>291</v>
      </c>
      <c r="B6" s="828"/>
      <c r="C6" s="828"/>
      <c r="D6" s="828"/>
      <c r="E6" s="828"/>
      <c r="F6" s="828"/>
      <c r="G6" s="828"/>
      <c r="H6" s="828"/>
      <c r="I6" s="828"/>
      <c r="J6" s="445"/>
      <c r="K6" s="445"/>
      <c r="L6" s="445"/>
      <c r="M6" s="445"/>
      <c r="N6" s="445"/>
      <c r="O6" s="445"/>
      <c r="P6" s="445"/>
      <c r="Q6" s="445"/>
      <c r="R6" s="445"/>
      <c r="S6" s="445"/>
      <c r="T6" s="445"/>
      <c r="U6" s="445"/>
      <c r="V6" s="445"/>
      <c r="W6" s="445"/>
      <c r="X6" s="445"/>
      <c r="Y6" s="445"/>
    </row>
    <row r="7" spans="1:25" ht="15" customHeight="1" x14ac:dyDescent="0.25">
      <c r="A7" s="445"/>
      <c r="B7" s="445"/>
      <c r="C7" s="445"/>
      <c r="D7" s="445"/>
      <c r="E7" s="445"/>
      <c r="F7" s="445"/>
      <c r="G7" s="445"/>
      <c r="H7" s="445"/>
      <c r="I7" s="445"/>
      <c r="J7" s="445"/>
      <c r="K7" s="445"/>
      <c r="L7" s="445"/>
      <c r="M7" s="445"/>
      <c r="N7" s="445"/>
      <c r="O7" s="445"/>
      <c r="P7" s="445"/>
      <c r="Q7" s="445"/>
      <c r="R7" s="445"/>
      <c r="S7" s="445"/>
      <c r="T7" s="445"/>
      <c r="U7" s="445"/>
      <c r="V7" s="445"/>
      <c r="W7" s="445"/>
      <c r="X7" s="445"/>
      <c r="Y7" s="445"/>
    </row>
    <row r="8" spans="1:25" ht="12" customHeight="1" x14ac:dyDescent="0.25">
      <c r="A8" s="831" t="s">
        <v>448</v>
      </c>
      <c r="B8" s="828"/>
      <c r="C8" s="828"/>
      <c r="D8" s="828"/>
      <c r="E8" s="828"/>
      <c r="F8" s="828"/>
      <c r="G8" s="828"/>
      <c r="H8" s="828"/>
      <c r="I8" s="828"/>
      <c r="J8" s="828"/>
      <c r="K8" s="828"/>
      <c r="L8" s="828"/>
      <c r="M8" s="445"/>
      <c r="N8" s="445"/>
      <c r="O8" s="445"/>
      <c r="P8" s="445"/>
      <c r="Q8" s="445"/>
      <c r="R8" s="445"/>
      <c r="S8" s="445"/>
      <c r="T8" s="445"/>
      <c r="U8" s="445"/>
      <c r="V8" s="445"/>
      <c r="W8" s="445"/>
      <c r="X8" s="445"/>
      <c r="Y8" s="445"/>
    </row>
    <row r="9" spans="1:25" ht="12" customHeight="1" x14ac:dyDescent="0.25">
      <c r="A9" s="833" t="s">
        <v>293</v>
      </c>
      <c r="B9" s="828"/>
      <c r="C9" s="828"/>
      <c r="D9" s="828"/>
      <c r="E9" s="828"/>
      <c r="F9" s="828"/>
      <c r="G9" s="828"/>
      <c r="H9" s="828"/>
      <c r="I9" s="833" t="s">
        <v>293</v>
      </c>
      <c r="J9" s="828"/>
      <c r="K9" s="828"/>
      <c r="L9" s="828"/>
      <c r="M9" s="445"/>
      <c r="N9" s="445"/>
      <c r="O9" s="445"/>
      <c r="P9" s="445"/>
      <c r="Q9" s="445"/>
      <c r="R9" s="445"/>
      <c r="S9" s="445"/>
      <c r="T9" s="445"/>
      <c r="U9" s="445"/>
      <c r="V9" s="445"/>
      <c r="W9" s="445"/>
      <c r="X9" s="445"/>
      <c r="Y9" s="445"/>
    </row>
    <row r="10" spans="1:25" ht="0" hidden="1" customHeight="1" x14ac:dyDescent="0.25">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row>
    <row r="11" spans="1:25" ht="6" customHeight="1" x14ac:dyDescent="0.25">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row>
    <row r="12" spans="1:25" ht="2.25" customHeight="1" x14ac:dyDescent="0.25">
      <c r="A12" s="445"/>
      <c r="B12" s="445"/>
      <c r="C12" s="445"/>
      <c r="D12" s="445"/>
      <c r="E12" s="445"/>
      <c r="F12" s="445"/>
      <c r="G12" s="445"/>
      <c r="H12" s="832" t="s">
        <v>293</v>
      </c>
      <c r="I12" s="828"/>
      <c r="J12" s="828"/>
      <c r="K12" s="828"/>
      <c r="L12" s="828"/>
      <c r="M12" s="828"/>
      <c r="N12" s="828"/>
      <c r="O12" s="828"/>
      <c r="P12" s="828"/>
      <c r="Q12" s="828"/>
      <c r="R12" s="828"/>
      <c r="S12" s="828"/>
      <c r="T12" s="828"/>
      <c r="U12" s="828"/>
      <c r="V12" s="828"/>
      <c r="W12" s="828"/>
      <c r="X12" s="828"/>
      <c r="Y12" s="828"/>
    </row>
    <row r="13" spans="1:25" ht="19.5" x14ac:dyDescent="0.25">
      <c r="A13" s="448" t="s">
        <v>294</v>
      </c>
      <c r="B13" s="448" t="s">
        <v>295</v>
      </c>
      <c r="C13" s="448" t="s">
        <v>296</v>
      </c>
      <c r="D13" s="832" t="s">
        <v>185</v>
      </c>
      <c r="E13" s="828"/>
      <c r="F13" s="828"/>
      <c r="G13" s="448" t="s">
        <v>297</v>
      </c>
      <c r="H13" s="832" t="s">
        <v>298</v>
      </c>
      <c r="I13" s="828"/>
      <c r="J13" s="828"/>
      <c r="K13" s="448" t="s">
        <v>299</v>
      </c>
      <c r="L13" s="832" t="s">
        <v>300</v>
      </c>
      <c r="M13" s="828"/>
      <c r="N13" s="448" t="s">
        <v>301</v>
      </c>
      <c r="O13" s="448" t="s">
        <v>302</v>
      </c>
      <c r="P13" s="448" t="s">
        <v>303</v>
      </c>
      <c r="Q13" s="834" t="s">
        <v>304</v>
      </c>
      <c r="R13" s="828"/>
      <c r="S13" s="834" t="s">
        <v>305</v>
      </c>
      <c r="T13" s="828"/>
      <c r="U13" s="834" t="s">
        <v>306</v>
      </c>
      <c r="V13" s="828"/>
      <c r="W13" s="828"/>
      <c r="X13" s="828"/>
      <c r="Y13" s="828"/>
    </row>
    <row r="14" spans="1:25" ht="12" customHeight="1" x14ac:dyDescent="0.25">
      <c r="A14" s="832" t="s">
        <v>293</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row>
    <row r="15" spans="1:25" ht="24" customHeight="1" x14ac:dyDescent="0.25">
      <c r="A15" s="833" t="s">
        <v>293</v>
      </c>
      <c r="B15" s="828"/>
      <c r="C15" s="828"/>
      <c r="D15" s="828"/>
      <c r="E15" s="828"/>
      <c r="F15" s="828"/>
      <c r="G15" s="828"/>
      <c r="H15" s="828"/>
      <c r="I15" s="828"/>
      <c r="J15" s="828"/>
      <c r="K15" s="828"/>
      <c r="L15" s="828"/>
      <c r="M15" s="828"/>
      <c r="N15" s="828"/>
      <c r="O15" s="828"/>
      <c r="P15" s="828"/>
      <c r="Q15" s="828"/>
      <c r="R15" s="828"/>
      <c r="S15" s="828"/>
      <c r="T15" s="828"/>
      <c r="U15" s="828"/>
      <c r="V15" s="828"/>
      <c r="W15" s="828"/>
      <c r="X15" s="828"/>
      <c r="Y15" s="828"/>
    </row>
    <row r="16" spans="1:25" ht="12" customHeight="1" x14ac:dyDescent="0.25">
      <c r="A16" s="831" t="s">
        <v>307</v>
      </c>
      <c r="B16" s="828"/>
      <c r="C16" s="449" t="s">
        <v>293</v>
      </c>
      <c r="D16" s="449" t="s">
        <v>449</v>
      </c>
      <c r="E16" s="831" t="s">
        <v>450</v>
      </c>
      <c r="F16" s="828"/>
      <c r="G16" s="828"/>
      <c r="H16" s="831" t="s">
        <v>293</v>
      </c>
      <c r="I16" s="828"/>
      <c r="J16" s="828"/>
      <c r="K16" s="828"/>
      <c r="L16" s="828"/>
      <c r="M16" s="828"/>
      <c r="N16" s="828"/>
      <c r="O16" s="828"/>
      <c r="P16" s="828"/>
      <c r="Q16" s="828"/>
      <c r="R16" s="828"/>
      <c r="S16" s="828"/>
      <c r="T16" s="828"/>
      <c r="U16" s="843">
        <v>19789.3</v>
      </c>
      <c r="V16" s="828"/>
      <c r="W16" s="828"/>
      <c r="X16" s="828"/>
      <c r="Y16" s="828"/>
    </row>
    <row r="17" spans="1:32" x14ac:dyDescent="0.25">
      <c r="A17" s="450" t="s">
        <v>451</v>
      </c>
      <c r="B17" s="446" t="s">
        <v>311</v>
      </c>
      <c r="C17" s="450" t="s">
        <v>452</v>
      </c>
      <c r="D17" s="840" t="s">
        <v>450</v>
      </c>
      <c r="E17" s="828"/>
      <c r="F17" s="828"/>
      <c r="G17" s="446" t="s">
        <v>453</v>
      </c>
      <c r="H17" s="830" t="s">
        <v>454</v>
      </c>
      <c r="I17" s="828"/>
      <c r="J17" s="828"/>
      <c r="K17" s="446" t="s">
        <v>316</v>
      </c>
      <c r="L17" s="830" t="s">
        <v>317</v>
      </c>
      <c r="M17" s="828"/>
      <c r="N17" s="446" t="s">
        <v>318</v>
      </c>
      <c r="O17" s="446" t="s">
        <v>293</v>
      </c>
      <c r="P17" s="446" t="s">
        <v>293</v>
      </c>
      <c r="Q17" s="841">
        <v>595.5</v>
      </c>
      <c r="R17" s="828"/>
      <c r="S17" s="841">
        <v>3970</v>
      </c>
      <c r="T17" s="828"/>
      <c r="U17" s="842">
        <v>23759.3</v>
      </c>
      <c r="V17" s="828"/>
      <c r="W17" s="828"/>
      <c r="X17" s="828"/>
      <c r="Y17" s="828"/>
      <c r="Z17" s="445"/>
      <c r="AA17" s="445"/>
      <c r="AB17" s="445"/>
      <c r="AC17" s="445"/>
      <c r="AD17" s="445"/>
      <c r="AE17" s="445"/>
      <c r="AF17" s="445"/>
    </row>
    <row r="18" spans="1:32" x14ac:dyDescent="0.25">
      <c r="A18" s="831" t="s">
        <v>293</v>
      </c>
      <c r="B18" s="828"/>
      <c r="C18" s="828"/>
      <c r="D18" s="828"/>
      <c r="E18" s="831" t="s">
        <v>450</v>
      </c>
      <c r="F18" s="828"/>
      <c r="G18" s="828"/>
      <c r="H18" s="831" t="s">
        <v>293</v>
      </c>
      <c r="I18" s="828"/>
      <c r="J18" s="828"/>
      <c r="K18" s="828"/>
      <c r="L18" s="828"/>
      <c r="M18" s="828"/>
      <c r="N18" s="449" t="s">
        <v>293</v>
      </c>
      <c r="O18" s="449" t="s">
        <v>293</v>
      </c>
      <c r="P18" s="449" t="s">
        <v>293</v>
      </c>
      <c r="Q18" s="843">
        <v>595.5</v>
      </c>
      <c r="R18" s="828"/>
      <c r="S18" s="843">
        <v>3970</v>
      </c>
      <c r="T18" s="828"/>
      <c r="U18" s="843">
        <v>23759.3</v>
      </c>
      <c r="V18" s="828"/>
      <c r="W18" s="828"/>
      <c r="X18" s="828"/>
      <c r="Y18" s="828"/>
      <c r="Z18" s="445"/>
      <c r="AA18" s="445"/>
      <c r="AB18" s="445"/>
      <c r="AC18" s="445"/>
      <c r="AD18" s="445"/>
      <c r="AE18" s="445"/>
      <c r="AF18" s="445"/>
    </row>
    <row r="19" spans="1:32" ht="24" customHeight="1" x14ac:dyDescent="0.25">
      <c r="A19" s="833" t="s">
        <v>293</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8"/>
      <c r="Z19" s="445"/>
      <c r="AA19" s="445"/>
      <c r="AB19" s="445"/>
      <c r="AC19" s="445"/>
      <c r="AD19" s="445"/>
      <c r="AE19" s="445"/>
      <c r="AF19" s="445"/>
    </row>
    <row r="20" spans="1:32" ht="12" customHeight="1" x14ac:dyDescent="0.25">
      <c r="A20" s="831" t="s">
        <v>307</v>
      </c>
      <c r="B20" s="828"/>
      <c r="C20" s="449" t="s">
        <v>293</v>
      </c>
      <c r="D20" s="449" t="s">
        <v>308</v>
      </c>
      <c r="E20" s="831" t="s">
        <v>309</v>
      </c>
      <c r="F20" s="828"/>
      <c r="G20" s="828"/>
      <c r="H20" s="831" t="s">
        <v>293</v>
      </c>
      <c r="I20" s="828"/>
      <c r="J20" s="828"/>
      <c r="K20" s="828"/>
      <c r="L20" s="828"/>
      <c r="M20" s="828"/>
      <c r="N20" s="828"/>
      <c r="O20" s="828"/>
      <c r="P20" s="828"/>
      <c r="Q20" s="828"/>
      <c r="R20" s="828"/>
      <c r="S20" s="828"/>
      <c r="T20" s="828"/>
      <c r="U20" s="843">
        <v>78870.539999999994</v>
      </c>
      <c r="V20" s="828"/>
      <c r="W20" s="828"/>
      <c r="X20" s="828"/>
      <c r="Y20" s="828"/>
      <c r="Z20" s="445"/>
      <c r="AA20" s="445"/>
      <c r="AB20" s="445"/>
      <c r="AC20" s="445"/>
      <c r="AD20" s="445"/>
      <c r="AE20" s="445"/>
      <c r="AF20" s="445"/>
    </row>
    <row r="21" spans="1:32" x14ac:dyDescent="0.25">
      <c r="A21" s="450" t="s">
        <v>455</v>
      </c>
      <c r="B21" s="446" t="s">
        <v>311</v>
      </c>
      <c r="C21" s="450" t="s">
        <v>456</v>
      </c>
      <c r="D21" s="840" t="s">
        <v>313</v>
      </c>
      <c r="E21" s="828"/>
      <c r="F21" s="828"/>
      <c r="G21" s="446" t="s">
        <v>314</v>
      </c>
      <c r="H21" s="830" t="s">
        <v>457</v>
      </c>
      <c r="I21" s="828"/>
      <c r="J21" s="828"/>
      <c r="K21" s="446" t="s">
        <v>316</v>
      </c>
      <c r="L21" s="830" t="s">
        <v>317</v>
      </c>
      <c r="M21" s="828"/>
      <c r="N21" s="446" t="s">
        <v>318</v>
      </c>
      <c r="O21" s="446" t="s">
        <v>293</v>
      </c>
      <c r="P21" s="446" t="s">
        <v>293</v>
      </c>
      <c r="Q21" s="841">
        <v>44.92</v>
      </c>
      <c r="R21" s="828"/>
      <c r="S21" s="841">
        <v>299.5</v>
      </c>
      <c r="T21" s="828"/>
      <c r="U21" s="842">
        <v>79170.039999999994</v>
      </c>
      <c r="V21" s="828"/>
      <c r="W21" s="828"/>
      <c r="X21" s="828"/>
      <c r="Y21" s="828"/>
      <c r="Z21" s="445"/>
      <c r="AA21" s="445"/>
      <c r="AB21" s="445"/>
      <c r="AC21" s="445"/>
      <c r="AD21" s="445"/>
      <c r="AE21" s="445"/>
      <c r="AF21" s="445"/>
    </row>
    <row r="22" spans="1:32" x14ac:dyDescent="0.25">
      <c r="A22" s="450" t="s">
        <v>455</v>
      </c>
      <c r="B22" s="446" t="s">
        <v>311</v>
      </c>
      <c r="C22" s="450" t="s">
        <v>456</v>
      </c>
      <c r="D22" s="840" t="s">
        <v>313</v>
      </c>
      <c r="E22" s="828"/>
      <c r="F22" s="828"/>
      <c r="G22" s="446" t="s">
        <v>314</v>
      </c>
      <c r="H22" s="830" t="s">
        <v>457</v>
      </c>
      <c r="I22" s="828"/>
      <c r="J22" s="828"/>
      <c r="K22" s="446" t="s">
        <v>316</v>
      </c>
      <c r="L22" s="830" t="s">
        <v>317</v>
      </c>
      <c r="M22" s="828"/>
      <c r="N22" s="446" t="s">
        <v>318</v>
      </c>
      <c r="O22" s="446" t="s">
        <v>293</v>
      </c>
      <c r="P22" s="446" t="s">
        <v>293</v>
      </c>
      <c r="Q22" s="841">
        <v>48.75</v>
      </c>
      <c r="R22" s="828"/>
      <c r="S22" s="841">
        <v>325</v>
      </c>
      <c r="T22" s="828"/>
      <c r="U22" s="842">
        <v>79495.039999999994</v>
      </c>
      <c r="V22" s="828"/>
      <c r="W22" s="828"/>
      <c r="X22" s="828"/>
      <c r="Y22" s="828"/>
      <c r="Z22" s="445"/>
      <c r="AA22" s="445"/>
      <c r="AB22" s="445"/>
      <c r="AC22" s="445"/>
      <c r="AD22" s="445"/>
      <c r="AE22" s="445"/>
      <c r="AF22" s="445"/>
    </row>
    <row r="23" spans="1:32" x14ac:dyDescent="0.25">
      <c r="A23" s="450" t="s">
        <v>455</v>
      </c>
      <c r="B23" s="446" t="s">
        <v>311</v>
      </c>
      <c r="C23" s="450" t="s">
        <v>456</v>
      </c>
      <c r="D23" s="840" t="s">
        <v>458</v>
      </c>
      <c r="E23" s="828"/>
      <c r="F23" s="828"/>
      <c r="G23" s="446" t="s">
        <v>314</v>
      </c>
      <c r="H23" s="830" t="s">
        <v>457</v>
      </c>
      <c r="I23" s="828"/>
      <c r="J23" s="828"/>
      <c r="K23" s="446" t="s">
        <v>316</v>
      </c>
      <c r="L23" s="830" t="s">
        <v>317</v>
      </c>
      <c r="M23" s="828"/>
      <c r="N23" s="446" t="s">
        <v>318</v>
      </c>
      <c r="O23" s="446" t="s">
        <v>293</v>
      </c>
      <c r="P23" s="446" t="s">
        <v>293</v>
      </c>
      <c r="Q23" s="841">
        <v>150.08000000000001</v>
      </c>
      <c r="R23" s="828"/>
      <c r="S23" s="841">
        <v>1000.5</v>
      </c>
      <c r="T23" s="828"/>
      <c r="U23" s="842">
        <v>80495.539999999994</v>
      </c>
      <c r="V23" s="828"/>
      <c r="W23" s="828"/>
      <c r="X23" s="828"/>
      <c r="Y23" s="828"/>
      <c r="Z23" s="445"/>
      <c r="AA23" s="445"/>
      <c r="AB23" s="445"/>
      <c r="AC23" s="445"/>
      <c r="AD23" s="445"/>
      <c r="AE23" s="445"/>
      <c r="AF23" s="445"/>
    </row>
    <row r="24" spans="1:32" x14ac:dyDescent="0.25">
      <c r="A24" s="450" t="s">
        <v>455</v>
      </c>
      <c r="B24" s="446" t="s">
        <v>325</v>
      </c>
      <c r="C24" s="450" t="s">
        <v>459</v>
      </c>
      <c r="D24" s="840" t="s">
        <v>460</v>
      </c>
      <c r="E24" s="828"/>
      <c r="F24" s="828"/>
      <c r="G24" s="446" t="s">
        <v>293</v>
      </c>
      <c r="H24" s="830" t="s">
        <v>293</v>
      </c>
      <c r="I24" s="828"/>
      <c r="J24" s="828"/>
      <c r="K24" s="446" t="s">
        <v>316</v>
      </c>
      <c r="L24" s="830" t="s">
        <v>317</v>
      </c>
      <c r="M24" s="828"/>
      <c r="N24" s="446" t="s">
        <v>318</v>
      </c>
      <c r="O24" s="446" t="s">
        <v>293</v>
      </c>
      <c r="P24" s="446" t="s">
        <v>293</v>
      </c>
      <c r="Q24" s="841">
        <v>0</v>
      </c>
      <c r="R24" s="828"/>
      <c r="S24" s="841">
        <v>-1625</v>
      </c>
      <c r="T24" s="828"/>
      <c r="U24" s="842">
        <v>78870.539999999994</v>
      </c>
      <c r="V24" s="828"/>
      <c r="W24" s="828"/>
      <c r="X24" s="828"/>
      <c r="Y24" s="828"/>
      <c r="Z24" s="445"/>
      <c r="AA24" s="445"/>
      <c r="AB24" s="445"/>
      <c r="AC24" s="445"/>
      <c r="AD24" s="445"/>
      <c r="AE24" s="445"/>
      <c r="AF24" s="445"/>
    </row>
    <row r="25" spans="1:32" x14ac:dyDescent="0.25">
      <c r="A25" s="450" t="s">
        <v>461</v>
      </c>
      <c r="B25" s="446" t="s">
        <v>311</v>
      </c>
      <c r="C25" s="450" t="s">
        <v>462</v>
      </c>
      <c r="D25" s="840" t="s">
        <v>463</v>
      </c>
      <c r="E25" s="828"/>
      <c r="F25" s="828"/>
      <c r="G25" s="446" t="s">
        <v>464</v>
      </c>
      <c r="H25" s="830" t="s">
        <v>465</v>
      </c>
      <c r="I25" s="828"/>
      <c r="J25" s="828"/>
      <c r="K25" s="446" t="s">
        <v>316</v>
      </c>
      <c r="L25" s="830" t="s">
        <v>317</v>
      </c>
      <c r="M25" s="828"/>
      <c r="N25" s="446" t="s">
        <v>318</v>
      </c>
      <c r="O25" s="446" t="s">
        <v>293</v>
      </c>
      <c r="P25" s="446" t="s">
        <v>293</v>
      </c>
      <c r="Q25" s="841">
        <v>224.85</v>
      </c>
      <c r="R25" s="828"/>
      <c r="S25" s="841">
        <v>1499</v>
      </c>
      <c r="T25" s="828"/>
      <c r="U25" s="842">
        <v>80369.539999999994</v>
      </c>
      <c r="V25" s="828"/>
      <c r="W25" s="828"/>
      <c r="X25" s="828"/>
      <c r="Y25" s="828"/>
      <c r="Z25" s="445"/>
      <c r="AA25" s="445"/>
      <c r="AB25" s="445" t="s">
        <v>466</v>
      </c>
      <c r="AC25" s="445"/>
      <c r="AD25" s="445"/>
      <c r="AE25" s="445"/>
      <c r="AF25" s="445"/>
    </row>
    <row r="26" spans="1:32" x14ac:dyDescent="0.25">
      <c r="A26" s="831" t="s">
        <v>293</v>
      </c>
      <c r="B26" s="828"/>
      <c r="C26" s="828"/>
      <c r="D26" s="828"/>
      <c r="E26" s="831" t="s">
        <v>309</v>
      </c>
      <c r="F26" s="828"/>
      <c r="G26" s="828"/>
      <c r="H26" s="831" t="s">
        <v>293</v>
      </c>
      <c r="I26" s="828"/>
      <c r="J26" s="828"/>
      <c r="K26" s="828"/>
      <c r="L26" s="828"/>
      <c r="M26" s="828"/>
      <c r="N26" s="449" t="s">
        <v>293</v>
      </c>
      <c r="O26" s="449" t="s">
        <v>293</v>
      </c>
      <c r="P26" s="449" t="s">
        <v>293</v>
      </c>
      <c r="Q26" s="843">
        <v>468.6</v>
      </c>
      <c r="R26" s="828"/>
      <c r="S26" s="843">
        <v>1499</v>
      </c>
      <c r="T26" s="828"/>
      <c r="U26" s="843">
        <v>80369.539999999994</v>
      </c>
      <c r="V26" s="828"/>
      <c r="W26" s="828"/>
      <c r="X26" s="828"/>
      <c r="Y26" s="828"/>
      <c r="Z26" s="445"/>
      <c r="AA26" s="445"/>
      <c r="AB26" s="445"/>
      <c r="AC26" s="445"/>
      <c r="AD26" s="445"/>
      <c r="AE26" s="445"/>
      <c r="AF26" s="445"/>
    </row>
    <row r="27" spans="1:32" ht="24" customHeight="1" x14ac:dyDescent="0.25">
      <c r="A27" s="833" t="s">
        <v>293</v>
      </c>
      <c r="B27" s="828"/>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445"/>
      <c r="AA27" s="445"/>
      <c r="AB27" s="445"/>
      <c r="AC27" s="445"/>
      <c r="AD27" s="445"/>
      <c r="AE27" s="445"/>
      <c r="AF27" s="445"/>
    </row>
    <row r="28" spans="1:32" ht="12" customHeight="1" x14ac:dyDescent="0.25">
      <c r="A28" s="831" t="s">
        <v>307</v>
      </c>
      <c r="B28" s="828"/>
      <c r="C28" s="449" t="s">
        <v>293</v>
      </c>
      <c r="D28" s="449" t="s">
        <v>328</v>
      </c>
      <c r="E28" s="831" t="s">
        <v>329</v>
      </c>
      <c r="F28" s="828"/>
      <c r="G28" s="828"/>
      <c r="H28" s="831" t="s">
        <v>293</v>
      </c>
      <c r="I28" s="828"/>
      <c r="J28" s="828"/>
      <c r="K28" s="828"/>
      <c r="L28" s="828"/>
      <c r="M28" s="828"/>
      <c r="N28" s="828"/>
      <c r="O28" s="828"/>
      <c r="P28" s="828"/>
      <c r="Q28" s="828"/>
      <c r="R28" s="828"/>
      <c r="S28" s="828"/>
      <c r="T28" s="828"/>
      <c r="U28" s="843">
        <v>38307.01</v>
      </c>
      <c r="V28" s="828"/>
      <c r="W28" s="828"/>
      <c r="X28" s="828"/>
      <c r="Y28" s="828"/>
      <c r="Z28" s="445"/>
      <c r="AA28" s="445"/>
      <c r="AB28" s="445"/>
      <c r="AC28" s="445"/>
      <c r="AD28" s="445"/>
      <c r="AE28" s="445"/>
      <c r="AF28" s="445"/>
    </row>
    <row r="29" spans="1:32" s="491" customFormat="1" ht="18" x14ac:dyDescent="0.25">
      <c r="A29" s="451" t="s">
        <v>467</v>
      </c>
      <c r="B29" s="452" t="s">
        <v>311</v>
      </c>
      <c r="C29" s="451" t="s">
        <v>468</v>
      </c>
      <c r="D29" s="844" t="s">
        <v>469</v>
      </c>
      <c r="E29" s="845"/>
      <c r="F29" s="845"/>
      <c r="G29" s="452" t="s">
        <v>470</v>
      </c>
      <c r="H29" s="846" t="s">
        <v>471</v>
      </c>
      <c r="I29" s="845"/>
      <c r="J29" s="845"/>
      <c r="K29" s="452" t="s">
        <v>316</v>
      </c>
      <c r="L29" s="846" t="s">
        <v>317</v>
      </c>
      <c r="M29" s="845"/>
      <c r="N29" s="452" t="s">
        <v>318</v>
      </c>
      <c r="O29" s="452" t="s">
        <v>293</v>
      </c>
      <c r="P29" s="452" t="s">
        <v>293</v>
      </c>
      <c r="Q29" s="847">
        <v>71.09</v>
      </c>
      <c r="R29" s="845"/>
      <c r="S29" s="847">
        <v>473.91</v>
      </c>
      <c r="T29" s="845"/>
      <c r="U29" s="848">
        <v>38780.92</v>
      </c>
      <c r="V29" s="845"/>
      <c r="W29" s="845"/>
      <c r="X29" s="845"/>
      <c r="Y29" s="845"/>
      <c r="Z29" s="453"/>
      <c r="AA29" s="453"/>
      <c r="AB29" s="453" t="s">
        <v>472</v>
      </c>
      <c r="AC29" s="453"/>
      <c r="AD29" s="453"/>
      <c r="AE29" s="453"/>
      <c r="AF29" s="495" t="s">
        <v>473</v>
      </c>
    </row>
    <row r="30" spans="1:32" s="491" customFormat="1" x14ac:dyDescent="0.25">
      <c r="A30" s="451" t="s">
        <v>467</v>
      </c>
      <c r="B30" s="452" t="s">
        <v>311</v>
      </c>
      <c r="C30" s="451" t="s">
        <v>474</v>
      </c>
      <c r="D30" s="844" t="s">
        <v>475</v>
      </c>
      <c r="E30" s="845"/>
      <c r="F30" s="845"/>
      <c r="G30" s="452" t="s">
        <v>476</v>
      </c>
      <c r="H30" s="846" t="s">
        <v>477</v>
      </c>
      <c r="I30" s="845"/>
      <c r="J30" s="845"/>
      <c r="K30" s="452" t="s">
        <v>316</v>
      </c>
      <c r="L30" s="846" t="s">
        <v>317</v>
      </c>
      <c r="M30" s="845"/>
      <c r="N30" s="452" t="s">
        <v>318</v>
      </c>
      <c r="O30" s="452" t="s">
        <v>293</v>
      </c>
      <c r="P30" s="452" t="s">
        <v>293</v>
      </c>
      <c r="Q30" s="847">
        <v>168.26</v>
      </c>
      <c r="R30" s="845"/>
      <c r="S30" s="847">
        <v>1121.74</v>
      </c>
      <c r="T30" s="845"/>
      <c r="U30" s="848">
        <v>39902.660000000003</v>
      </c>
      <c r="V30" s="845"/>
      <c r="W30" s="845"/>
      <c r="X30" s="845"/>
      <c r="Y30" s="845"/>
      <c r="Z30" s="453"/>
      <c r="AA30" s="453"/>
      <c r="AB30" s="453" t="s">
        <v>472</v>
      </c>
      <c r="AC30" s="453"/>
      <c r="AD30" s="453"/>
      <c r="AE30" s="453"/>
      <c r="AF30" s="495" t="s">
        <v>473</v>
      </c>
    </row>
    <row r="31" spans="1:32" x14ac:dyDescent="0.25">
      <c r="A31" s="831" t="s">
        <v>293</v>
      </c>
      <c r="B31" s="828"/>
      <c r="C31" s="828"/>
      <c r="D31" s="828"/>
      <c r="E31" s="831" t="s">
        <v>329</v>
      </c>
      <c r="F31" s="828"/>
      <c r="G31" s="828"/>
      <c r="H31" s="831" t="s">
        <v>293</v>
      </c>
      <c r="I31" s="828"/>
      <c r="J31" s="828"/>
      <c r="K31" s="828"/>
      <c r="L31" s="828"/>
      <c r="M31" s="828"/>
      <c r="N31" s="449" t="s">
        <v>293</v>
      </c>
      <c r="O31" s="449" t="s">
        <v>293</v>
      </c>
      <c r="P31" s="449" t="s">
        <v>293</v>
      </c>
      <c r="Q31" s="843">
        <v>239.35</v>
      </c>
      <c r="R31" s="828"/>
      <c r="S31" s="843">
        <v>1595.65</v>
      </c>
      <c r="T31" s="828"/>
      <c r="U31" s="843">
        <v>39902.660000000003</v>
      </c>
      <c r="V31" s="828"/>
      <c r="W31" s="828"/>
      <c r="X31" s="828"/>
      <c r="Y31" s="828"/>
      <c r="Z31" s="445"/>
      <c r="AA31" s="445"/>
      <c r="AB31" s="445"/>
      <c r="AC31" s="445"/>
      <c r="AD31" s="445"/>
      <c r="AE31" s="445"/>
      <c r="AF31" s="445"/>
    </row>
    <row r="32" spans="1:32" ht="24" customHeight="1" x14ac:dyDescent="0.25">
      <c r="A32" s="833" t="s">
        <v>293</v>
      </c>
      <c r="B32" s="828"/>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445"/>
      <c r="AA32" s="445"/>
      <c r="AB32" s="445"/>
      <c r="AC32" s="445"/>
      <c r="AD32" s="445"/>
      <c r="AE32" s="445"/>
      <c r="AF32" s="445"/>
    </row>
    <row r="33" spans="1:33" ht="12" customHeight="1" x14ac:dyDescent="0.25">
      <c r="A33" s="831" t="s">
        <v>307</v>
      </c>
      <c r="B33" s="828"/>
      <c r="C33" s="449" t="s">
        <v>293</v>
      </c>
      <c r="D33" s="449" t="s">
        <v>338</v>
      </c>
      <c r="E33" s="831" t="s">
        <v>339</v>
      </c>
      <c r="F33" s="828"/>
      <c r="G33" s="828"/>
      <c r="H33" s="831" t="s">
        <v>293</v>
      </c>
      <c r="I33" s="828"/>
      <c r="J33" s="828"/>
      <c r="K33" s="828"/>
      <c r="L33" s="828"/>
      <c r="M33" s="828"/>
      <c r="N33" s="828"/>
      <c r="O33" s="828"/>
      <c r="P33" s="828"/>
      <c r="Q33" s="828"/>
      <c r="R33" s="828"/>
      <c r="S33" s="828"/>
      <c r="T33" s="828"/>
      <c r="U33" s="843">
        <v>7726.3</v>
      </c>
      <c r="V33" s="828"/>
      <c r="W33" s="828"/>
      <c r="X33" s="828"/>
      <c r="Y33" s="828"/>
      <c r="Z33" s="445"/>
      <c r="AA33" s="445"/>
      <c r="AB33" s="445"/>
      <c r="AC33" s="445"/>
      <c r="AD33" s="445"/>
      <c r="AE33" s="445"/>
      <c r="AF33" s="445"/>
      <c r="AG33" s="445"/>
    </row>
    <row r="34" spans="1:33" x14ac:dyDescent="0.25">
      <c r="A34" s="450" t="s">
        <v>478</v>
      </c>
      <c r="B34" s="446" t="s">
        <v>311</v>
      </c>
      <c r="C34" s="450" t="s">
        <v>479</v>
      </c>
      <c r="D34" s="840" t="s">
        <v>480</v>
      </c>
      <c r="E34" s="828"/>
      <c r="F34" s="828"/>
      <c r="G34" s="446" t="s">
        <v>481</v>
      </c>
      <c r="H34" s="830" t="s">
        <v>482</v>
      </c>
      <c r="I34" s="828"/>
      <c r="J34" s="828"/>
      <c r="K34" s="446" t="s">
        <v>316</v>
      </c>
      <c r="L34" s="830" t="s">
        <v>317</v>
      </c>
      <c r="M34" s="828"/>
      <c r="N34" s="446" t="s">
        <v>318</v>
      </c>
      <c r="O34" s="446" t="s">
        <v>293</v>
      </c>
      <c r="P34" s="446" t="s">
        <v>293</v>
      </c>
      <c r="Q34" s="841">
        <v>6</v>
      </c>
      <c r="R34" s="828"/>
      <c r="S34" s="841">
        <v>40</v>
      </c>
      <c r="T34" s="828"/>
      <c r="U34" s="842">
        <v>7766.3</v>
      </c>
      <c r="V34" s="828"/>
      <c r="W34" s="828"/>
      <c r="X34" s="828"/>
      <c r="Y34" s="828"/>
      <c r="Z34" s="445"/>
      <c r="AA34" s="445"/>
      <c r="AB34" s="445"/>
      <c r="AC34" s="445"/>
      <c r="AD34" s="445"/>
      <c r="AE34" s="445"/>
      <c r="AF34" s="445"/>
      <c r="AG34" s="445"/>
    </row>
    <row r="35" spans="1:33" x14ac:dyDescent="0.25">
      <c r="A35" s="831" t="s">
        <v>293</v>
      </c>
      <c r="B35" s="828"/>
      <c r="C35" s="828"/>
      <c r="D35" s="828"/>
      <c r="E35" s="831" t="s">
        <v>339</v>
      </c>
      <c r="F35" s="828"/>
      <c r="G35" s="828"/>
      <c r="H35" s="831" t="s">
        <v>293</v>
      </c>
      <c r="I35" s="828"/>
      <c r="J35" s="828"/>
      <c r="K35" s="828"/>
      <c r="L35" s="828"/>
      <c r="M35" s="828"/>
      <c r="N35" s="449" t="s">
        <v>293</v>
      </c>
      <c r="O35" s="449" t="s">
        <v>293</v>
      </c>
      <c r="P35" s="449" t="s">
        <v>293</v>
      </c>
      <c r="Q35" s="843">
        <v>6</v>
      </c>
      <c r="R35" s="828"/>
      <c r="S35" s="843">
        <v>40</v>
      </c>
      <c r="T35" s="828"/>
      <c r="U35" s="843">
        <v>7766.3</v>
      </c>
      <c r="V35" s="828"/>
      <c r="W35" s="828"/>
      <c r="X35" s="828"/>
      <c r="Y35" s="828"/>
      <c r="Z35" s="445"/>
      <c r="AA35" s="445"/>
      <c r="AB35" s="445"/>
      <c r="AC35" s="445"/>
      <c r="AD35" s="445"/>
      <c r="AE35" s="445"/>
      <c r="AF35" s="445"/>
      <c r="AG35" s="445"/>
    </row>
    <row r="36" spans="1:33" ht="24" customHeight="1" x14ac:dyDescent="0.25">
      <c r="A36" s="833" t="s">
        <v>293</v>
      </c>
      <c r="B36" s="828"/>
      <c r="C36" s="828"/>
      <c r="D36" s="828"/>
      <c r="E36" s="828"/>
      <c r="F36" s="828"/>
      <c r="G36" s="828"/>
      <c r="H36" s="828"/>
      <c r="I36" s="828"/>
      <c r="J36" s="828"/>
      <c r="K36" s="828"/>
      <c r="L36" s="828"/>
      <c r="M36" s="828"/>
      <c r="N36" s="828"/>
      <c r="O36" s="828"/>
      <c r="P36" s="828"/>
      <c r="Q36" s="828"/>
      <c r="R36" s="828"/>
      <c r="S36" s="828"/>
      <c r="T36" s="828"/>
      <c r="U36" s="828"/>
      <c r="V36" s="828"/>
      <c r="W36" s="828"/>
      <c r="X36" s="828"/>
      <c r="Y36" s="828"/>
      <c r="Z36" s="445"/>
      <c r="AA36" s="445"/>
      <c r="AB36" s="445"/>
      <c r="AC36" s="445"/>
      <c r="AD36" s="445"/>
      <c r="AE36" s="445"/>
      <c r="AF36" s="445"/>
      <c r="AG36" s="445"/>
    </row>
    <row r="37" spans="1:33" ht="12" customHeight="1" x14ac:dyDescent="0.25">
      <c r="A37" s="831" t="s">
        <v>307</v>
      </c>
      <c r="B37" s="828"/>
      <c r="C37" s="449" t="s">
        <v>293</v>
      </c>
      <c r="D37" s="449" t="s">
        <v>344</v>
      </c>
      <c r="E37" s="831" t="s">
        <v>345</v>
      </c>
      <c r="F37" s="828"/>
      <c r="G37" s="828"/>
      <c r="H37" s="831" t="s">
        <v>293</v>
      </c>
      <c r="I37" s="828"/>
      <c r="J37" s="828"/>
      <c r="K37" s="828"/>
      <c r="L37" s="828"/>
      <c r="M37" s="828"/>
      <c r="N37" s="828"/>
      <c r="O37" s="828"/>
      <c r="P37" s="828"/>
      <c r="Q37" s="828"/>
      <c r="R37" s="828"/>
      <c r="S37" s="828"/>
      <c r="T37" s="828"/>
      <c r="U37" s="843">
        <v>1620.38</v>
      </c>
      <c r="V37" s="828"/>
      <c r="W37" s="828"/>
      <c r="X37" s="828"/>
      <c r="Y37" s="828"/>
      <c r="Z37" s="445"/>
      <c r="AA37" s="445"/>
      <c r="AB37" s="445"/>
      <c r="AC37" s="445"/>
      <c r="AD37" s="445"/>
      <c r="AE37" s="445"/>
      <c r="AF37" s="445"/>
      <c r="AG37" s="445"/>
    </row>
    <row r="38" spans="1:33" s="491" customFormat="1" ht="15" customHeight="1" x14ac:dyDescent="0.25">
      <c r="A38" s="451" t="s">
        <v>455</v>
      </c>
      <c r="B38" s="452" t="s">
        <v>311</v>
      </c>
      <c r="C38" s="451" t="s">
        <v>483</v>
      </c>
      <c r="D38" s="844" t="s">
        <v>484</v>
      </c>
      <c r="E38" s="844"/>
      <c r="F38" s="844"/>
      <c r="G38" s="452" t="s">
        <v>476</v>
      </c>
      <c r="H38" s="846" t="s">
        <v>485</v>
      </c>
      <c r="I38" s="846"/>
      <c r="J38" s="846"/>
      <c r="K38" s="452" t="s">
        <v>316</v>
      </c>
      <c r="L38" s="846" t="s">
        <v>317</v>
      </c>
      <c r="M38" s="846"/>
      <c r="N38" s="452" t="s">
        <v>318</v>
      </c>
      <c r="O38" s="452" t="s">
        <v>293</v>
      </c>
      <c r="P38" s="452" t="s">
        <v>293</v>
      </c>
      <c r="Q38" s="847">
        <v>12.07</v>
      </c>
      <c r="R38" s="847"/>
      <c r="S38" s="847">
        <v>80.44</v>
      </c>
      <c r="T38" s="847"/>
      <c r="U38" s="848">
        <v>1700.82</v>
      </c>
      <c r="V38" s="848"/>
      <c r="W38" s="848"/>
      <c r="X38" s="848"/>
      <c r="Y38" s="848"/>
      <c r="Z38" s="453"/>
      <c r="AA38" s="453"/>
      <c r="AB38" s="453" t="s">
        <v>486</v>
      </c>
      <c r="AC38" s="453"/>
      <c r="AD38" s="453"/>
      <c r="AE38" s="453"/>
      <c r="AF38" s="453"/>
      <c r="AG38" s="495" t="s">
        <v>473</v>
      </c>
    </row>
    <row r="39" spans="1:33" x14ac:dyDescent="0.25">
      <c r="A39" s="831" t="s">
        <v>293</v>
      </c>
      <c r="B39" s="828"/>
      <c r="C39" s="828"/>
      <c r="D39" s="828"/>
      <c r="E39" s="831" t="s">
        <v>345</v>
      </c>
      <c r="F39" s="828"/>
      <c r="G39" s="828"/>
      <c r="H39" s="831" t="s">
        <v>293</v>
      </c>
      <c r="I39" s="828"/>
      <c r="J39" s="828"/>
      <c r="K39" s="828"/>
      <c r="L39" s="828"/>
      <c r="M39" s="828"/>
      <c r="N39" s="449" t="s">
        <v>293</v>
      </c>
      <c r="O39" s="449" t="s">
        <v>293</v>
      </c>
      <c r="P39" s="449" t="s">
        <v>293</v>
      </c>
      <c r="Q39" s="843">
        <v>12.07</v>
      </c>
      <c r="R39" s="828"/>
      <c r="S39" s="843">
        <v>80.44</v>
      </c>
      <c r="T39" s="828"/>
      <c r="U39" s="843">
        <v>1700.82</v>
      </c>
      <c r="V39" s="828"/>
      <c r="W39" s="828"/>
      <c r="X39" s="828"/>
      <c r="Y39" s="828"/>
      <c r="Z39" s="445"/>
      <c r="AA39" s="445"/>
      <c r="AB39" s="445"/>
      <c r="AC39" s="445"/>
      <c r="AD39" s="445"/>
      <c r="AE39" s="445"/>
      <c r="AF39" s="445"/>
      <c r="AG39" s="445"/>
    </row>
    <row r="40" spans="1:33" ht="24" customHeight="1" x14ac:dyDescent="0.25">
      <c r="A40" s="833" t="s">
        <v>293</v>
      </c>
      <c r="B40" s="828"/>
      <c r="C40" s="828"/>
      <c r="D40" s="828"/>
      <c r="E40" s="828"/>
      <c r="F40" s="828"/>
      <c r="G40" s="828"/>
      <c r="H40" s="828"/>
      <c r="I40" s="828"/>
      <c r="J40" s="828"/>
      <c r="K40" s="828"/>
      <c r="L40" s="828"/>
      <c r="M40" s="828"/>
      <c r="N40" s="828"/>
      <c r="O40" s="828"/>
      <c r="P40" s="828"/>
      <c r="Q40" s="828"/>
      <c r="R40" s="828"/>
      <c r="S40" s="828"/>
      <c r="T40" s="828"/>
      <c r="U40" s="828"/>
      <c r="V40" s="828"/>
      <c r="W40" s="828"/>
      <c r="X40" s="828"/>
      <c r="Y40" s="828"/>
      <c r="Z40" s="445"/>
      <c r="AA40" s="445"/>
      <c r="AB40" s="445"/>
      <c r="AC40" s="445"/>
      <c r="AD40" s="445"/>
      <c r="AE40" s="445"/>
      <c r="AF40" s="445"/>
      <c r="AG40" s="445"/>
    </row>
    <row r="41" spans="1:33" ht="12" customHeight="1" x14ac:dyDescent="0.25">
      <c r="A41" s="831" t="s">
        <v>307</v>
      </c>
      <c r="B41" s="828"/>
      <c r="C41" s="449" t="s">
        <v>293</v>
      </c>
      <c r="D41" s="449" t="s">
        <v>382</v>
      </c>
      <c r="E41" s="831" t="s">
        <v>383</v>
      </c>
      <c r="F41" s="828"/>
      <c r="G41" s="828"/>
      <c r="H41" s="831" t="s">
        <v>293</v>
      </c>
      <c r="I41" s="828"/>
      <c r="J41" s="828"/>
      <c r="K41" s="828"/>
      <c r="L41" s="828"/>
      <c r="M41" s="828"/>
      <c r="N41" s="828"/>
      <c r="O41" s="828"/>
      <c r="P41" s="828"/>
      <c r="Q41" s="828"/>
      <c r="R41" s="828"/>
      <c r="S41" s="828"/>
      <c r="T41" s="828"/>
      <c r="U41" s="843">
        <v>1654.47</v>
      </c>
      <c r="V41" s="828"/>
      <c r="W41" s="828"/>
      <c r="X41" s="828"/>
      <c r="Y41" s="828"/>
      <c r="Z41" s="445"/>
      <c r="AA41" s="445"/>
      <c r="AB41" s="445"/>
      <c r="AC41" s="445"/>
      <c r="AD41" s="445"/>
      <c r="AE41" s="445"/>
      <c r="AF41" s="445"/>
      <c r="AG41" s="445"/>
    </row>
    <row r="42" spans="1:33" x14ac:dyDescent="0.25">
      <c r="A42" s="450" t="s">
        <v>455</v>
      </c>
      <c r="B42" s="446" t="s">
        <v>325</v>
      </c>
      <c r="C42" s="450" t="s">
        <v>459</v>
      </c>
      <c r="D42" s="840" t="s">
        <v>487</v>
      </c>
      <c r="E42" s="828"/>
      <c r="F42" s="828"/>
      <c r="G42" s="446" t="s">
        <v>293</v>
      </c>
      <c r="H42" s="830" t="s">
        <v>293</v>
      </c>
      <c r="I42" s="828"/>
      <c r="J42" s="828"/>
      <c r="K42" s="446" t="s">
        <v>316</v>
      </c>
      <c r="L42" s="830" t="s">
        <v>317</v>
      </c>
      <c r="M42" s="828"/>
      <c r="N42" s="446" t="s">
        <v>318</v>
      </c>
      <c r="O42" s="446" t="s">
        <v>293</v>
      </c>
      <c r="P42" s="446" t="s">
        <v>293</v>
      </c>
      <c r="Q42" s="841">
        <v>0</v>
      </c>
      <c r="R42" s="828"/>
      <c r="S42" s="841">
        <v>-28.85</v>
      </c>
      <c r="T42" s="828"/>
      <c r="U42" s="842">
        <v>1625.62</v>
      </c>
      <c r="V42" s="828"/>
      <c r="W42" s="828"/>
      <c r="X42" s="828"/>
      <c r="Y42" s="828"/>
      <c r="Z42" s="445"/>
      <c r="AA42" s="445"/>
      <c r="AB42" s="445"/>
      <c r="AC42" s="445"/>
      <c r="AD42" s="445"/>
      <c r="AE42" s="445"/>
      <c r="AF42" s="445"/>
      <c r="AG42" s="445"/>
    </row>
    <row r="43" spans="1:33" x14ac:dyDescent="0.25">
      <c r="A43" s="450" t="s">
        <v>455</v>
      </c>
      <c r="B43" s="446" t="s">
        <v>325</v>
      </c>
      <c r="C43" s="450" t="s">
        <v>459</v>
      </c>
      <c r="D43" s="840" t="s">
        <v>488</v>
      </c>
      <c r="E43" s="828"/>
      <c r="F43" s="828"/>
      <c r="G43" s="446" t="s">
        <v>293</v>
      </c>
      <c r="H43" s="830" t="s">
        <v>293</v>
      </c>
      <c r="I43" s="828"/>
      <c r="J43" s="828"/>
      <c r="K43" s="446" t="s">
        <v>316</v>
      </c>
      <c r="L43" s="830" t="s">
        <v>317</v>
      </c>
      <c r="M43" s="828"/>
      <c r="N43" s="446" t="s">
        <v>318</v>
      </c>
      <c r="O43" s="446" t="s">
        <v>293</v>
      </c>
      <c r="P43" s="446" t="s">
        <v>293</v>
      </c>
      <c r="Q43" s="841">
        <v>0</v>
      </c>
      <c r="R43" s="828"/>
      <c r="S43" s="841">
        <v>-17.350000000000001</v>
      </c>
      <c r="T43" s="828"/>
      <c r="U43" s="842">
        <v>1608.27</v>
      </c>
      <c r="V43" s="828"/>
      <c r="W43" s="828"/>
      <c r="X43" s="828"/>
      <c r="Y43" s="828"/>
      <c r="Z43" s="445"/>
      <c r="AA43" s="445"/>
      <c r="AB43" s="445"/>
      <c r="AC43" s="445"/>
      <c r="AD43" s="445"/>
      <c r="AE43" s="445"/>
      <c r="AF43" s="445"/>
      <c r="AG43" s="445"/>
    </row>
    <row r="44" spans="1:33" x14ac:dyDescent="0.25">
      <c r="A44" s="450" t="s">
        <v>489</v>
      </c>
      <c r="B44" s="446" t="s">
        <v>325</v>
      </c>
      <c r="C44" s="450" t="s">
        <v>490</v>
      </c>
      <c r="D44" s="840" t="s">
        <v>491</v>
      </c>
      <c r="E44" s="828"/>
      <c r="F44" s="828"/>
      <c r="G44" s="446" t="s">
        <v>293</v>
      </c>
      <c r="H44" s="830" t="s">
        <v>293</v>
      </c>
      <c r="I44" s="828"/>
      <c r="J44" s="828"/>
      <c r="K44" s="446" t="s">
        <v>316</v>
      </c>
      <c r="L44" s="830" t="s">
        <v>411</v>
      </c>
      <c r="M44" s="828"/>
      <c r="N44" s="446" t="s">
        <v>318</v>
      </c>
      <c r="O44" s="446" t="s">
        <v>293</v>
      </c>
      <c r="P44" s="446" t="s">
        <v>293</v>
      </c>
      <c r="Q44" s="841">
        <v>0</v>
      </c>
      <c r="R44" s="828"/>
      <c r="S44" s="841">
        <v>6.85</v>
      </c>
      <c r="T44" s="828"/>
      <c r="U44" s="842">
        <v>1615.12</v>
      </c>
      <c r="V44" s="828"/>
      <c r="W44" s="828"/>
      <c r="X44" s="828"/>
      <c r="Y44" s="828"/>
      <c r="Z44" s="445"/>
      <c r="AA44" s="445"/>
      <c r="AB44" s="445"/>
      <c r="AC44" s="445"/>
      <c r="AD44" s="445"/>
      <c r="AE44" s="445"/>
      <c r="AF44" s="445"/>
      <c r="AG44" s="445"/>
    </row>
    <row r="45" spans="1:33" s="491" customFormat="1" x14ac:dyDescent="0.25">
      <c r="A45" s="451" t="s">
        <v>489</v>
      </c>
      <c r="B45" s="452" t="s">
        <v>325</v>
      </c>
      <c r="C45" s="451" t="s">
        <v>490</v>
      </c>
      <c r="D45" s="844" t="s">
        <v>492</v>
      </c>
      <c r="E45" s="845"/>
      <c r="F45" s="845"/>
      <c r="G45" s="452" t="s">
        <v>293</v>
      </c>
      <c r="H45" s="846" t="s">
        <v>293</v>
      </c>
      <c r="I45" s="845"/>
      <c r="J45" s="845"/>
      <c r="K45" s="452" t="s">
        <v>316</v>
      </c>
      <c r="L45" s="846" t="s">
        <v>493</v>
      </c>
      <c r="M45" s="845"/>
      <c r="N45" s="452" t="s">
        <v>318</v>
      </c>
      <c r="O45" s="452" t="s">
        <v>293</v>
      </c>
      <c r="P45" s="452" t="s">
        <v>293</v>
      </c>
      <c r="Q45" s="847">
        <v>0</v>
      </c>
      <c r="R45" s="845"/>
      <c r="S45" s="847">
        <v>1</v>
      </c>
      <c r="T45" s="845"/>
      <c r="U45" s="848">
        <v>1616.12</v>
      </c>
      <c r="V45" s="845"/>
      <c r="W45" s="845"/>
      <c r="X45" s="845"/>
      <c r="Y45" s="845"/>
      <c r="Z45" s="453"/>
      <c r="AA45" s="453"/>
      <c r="AB45" s="453"/>
      <c r="AC45" s="453"/>
      <c r="AD45" s="453"/>
      <c r="AE45" s="453"/>
      <c r="AF45" s="453"/>
      <c r="AG45" s="453"/>
    </row>
    <row r="46" spans="1:33" s="491" customFormat="1" x14ac:dyDescent="0.25">
      <c r="A46" s="451" t="s">
        <v>489</v>
      </c>
      <c r="B46" s="452" t="s">
        <v>325</v>
      </c>
      <c r="C46" s="451" t="s">
        <v>490</v>
      </c>
      <c r="D46" s="844" t="s">
        <v>492</v>
      </c>
      <c r="E46" s="845"/>
      <c r="F46" s="845"/>
      <c r="G46" s="452" t="s">
        <v>293</v>
      </c>
      <c r="H46" s="846" t="s">
        <v>293</v>
      </c>
      <c r="I46" s="845"/>
      <c r="J46" s="845"/>
      <c r="K46" s="452" t="s">
        <v>316</v>
      </c>
      <c r="L46" s="846" t="s">
        <v>317</v>
      </c>
      <c r="M46" s="845"/>
      <c r="N46" s="452" t="s">
        <v>318</v>
      </c>
      <c r="O46" s="452" t="s">
        <v>293</v>
      </c>
      <c r="P46" s="452" t="s">
        <v>293</v>
      </c>
      <c r="Q46" s="847">
        <v>0</v>
      </c>
      <c r="R46" s="845"/>
      <c r="S46" s="847">
        <v>31.35</v>
      </c>
      <c r="T46" s="845"/>
      <c r="U46" s="848">
        <v>1647.47</v>
      </c>
      <c r="V46" s="845"/>
      <c r="W46" s="845"/>
      <c r="X46" s="845"/>
      <c r="Y46" s="845"/>
      <c r="Z46" s="453"/>
      <c r="AA46" s="453"/>
      <c r="AB46" s="453"/>
      <c r="AC46" s="453"/>
      <c r="AD46" s="453"/>
      <c r="AE46" s="453"/>
      <c r="AF46" s="453"/>
      <c r="AG46" s="453"/>
    </row>
    <row r="47" spans="1:33" x14ac:dyDescent="0.25">
      <c r="A47" s="450" t="s">
        <v>494</v>
      </c>
      <c r="B47" s="446" t="s">
        <v>325</v>
      </c>
      <c r="C47" s="450" t="s">
        <v>495</v>
      </c>
      <c r="D47" s="840" t="s">
        <v>491</v>
      </c>
      <c r="E47" s="828"/>
      <c r="F47" s="828"/>
      <c r="G47" s="446" t="s">
        <v>293</v>
      </c>
      <c r="H47" s="830" t="s">
        <v>293</v>
      </c>
      <c r="I47" s="828"/>
      <c r="J47" s="828"/>
      <c r="K47" s="446" t="s">
        <v>316</v>
      </c>
      <c r="L47" s="830" t="s">
        <v>411</v>
      </c>
      <c r="M47" s="828"/>
      <c r="N47" s="446" t="s">
        <v>318</v>
      </c>
      <c r="O47" s="446" t="s">
        <v>293</v>
      </c>
      <c r="P47" s="446" t="s">
        <v>293</v>
      </c>
      <c r="Q47" s="841">
        <v>0</v>
      </c>
      <c r="R47" s="828"/>
      <c r="S47" s="841">
        <v>-6.85</v>
      </c>
      <c r="T47" s="828"/>
      <c r="U47" s="842">
        <v>1640.62</v>
      </c>
      <c r="V47" s="828"/>
      <c r="W47" s="828"/>
      <c r="X47" s="828"/>
      <c r="Y47" s="828"/>
      <c r="Z47" s="445"/>
      <c r="AA47" s="445"/>
      <c r="AB47" s="445"/>
      <c r="AC47" s="445"/>
      <c r="AD47" s="445"/>
      <c r="AE47" s="445"/>
      <c r="AF47" s="445"/>
      <c r="AG47" s="445"/>
    </row>
    <row r="48" spans="1:33" x14ac:dyDescent="0.25">
      <c r="A48" s="450" t="s">
        <v>494</v>
      </c>
      <c r="B48" s="446" t="s">
        <v>325</v>
      </c>
      <c r="C48" s="450" t="s">
        <v>495</v>
      </c>
      <c r="D48" s="840" t="s">
        <v>492</v>
      </c>
      <c r="E48" s="828"/>
      <c r="F48" s="828"/>
      <c r="G48" s="446" t="s">
        <v>293</v>
      </c>
      <c r="H48" s="830" t="s">
        <v>293</v>
      </c>
      <c r="I48" s="828"/>
      <c r="J48" s="828"/>
      <c r="K48" s="446" t="s">
        <v>316</v>
      </c>
      <c r="L48" s="830" t="s">
        <v>493</v>
      </c>
      <c r="M48" s="828"/>
      <c r="N48" s="446" t="s">
        <v>318</v>
      </c>
      <c r="O48" s="446" t="s">
        <v>293</v>
      </c>
      <c r="P48" s="446" t="s">
        <v>293</v>
      </c>
      <c r="Q48" s="841">
        <v>0</v>
      </c>
      <c r="R48" s="828"/>
      <c r="S48" s="841">
        <v>-1</v>
      </c>
      <c r="T48" s="828"/>
      <c r="U48" s="842">
        <v>1639.62</v>
      </c>
      <c r="V48" s="828"/>
      <c r="W48" s="828"/>
      <c r="X48" s="828"/>
      <c r="Y48" s="828"/>
      <c r="Z48" s="445"/>
      <c r="AA48" s="445"/>
      <c r="AB48" s="445"/>
      <c r="AC48" s="445"/>
      <c r="AD48" s="445"/>
      <c r="AE48" s="445"/>
      <c r="AF48" s="445"/>
      <c r="AG48" s="445"/>
    </row>
    <row r="49" spans="1:25" x14ac:dyDescent="0.25">
      <c r="A49" s="450" t="s">
        <v>494</v>
      </c>
      <c r="B49" s="446" t="s">
        <v>325</v>
      </c>
      <c r="C49" s="450" t="s">
        <v>495</v>
      </c>
      <c r="D49" s="840" t="s">
        <v>492</v>
      </c>
      <c r="E49" s="828"/>
      <c r="F49" s="828"/>
      <c r="G49" s="446" t="s">
        <v>293</v>
      </c>
      <c r="H49" s="830" t="s">
        <v>293</v>
      </c>
      <c r="I49" s="828"/>
      <c r="J49" s="828"/>
      <c r="K49" s="446" t="s">
        <v>316</v>
      </c>
      <c r="L49" s="830" t="s">
        <v>317</v>
      </c>
      <c r="M49" s="828"/>
      <c r="N49" s="446" t="s">
        <v>318</v>
      </c>
      <c r="O49" s="446" t="s">
        <v>293</v>
      </c>
      <c r="P49" s="446" t="s">
        <v>293</v>
      </c>
      <c r="Q49" s="841">
        <v>0</v>
      </c>
      <c r="R49" s="828"/>
      <c r="S49" s="841">
        <v>-31.35</v>
      </c>
      <c r="T49" s="828"/>
      <c r="U49" s="842">
        <v>1608.27</v>
      </c>
      <c r="V49" s="828"/>
      <c r="W49" s="828"/>
      <c r="X49" s="828"/>
      <c r="Y49" s="828"/>
    </row>
    <row r="50" spans="1:25" s="491" customFormat="1" x14ac:dyDescent="0.25">
      <c r="A50" s="451" t="s">
        <v>496</v>
      </c>
      <c r="B50" s="452" t="s">
        <v>325</v>
      </c>
      <c r="C50" s="451" t="s">
        <v>497</v>
      </c>
      <c r="D50" s="844" t="s">
        <v>498</v>
      </c>
      <c r="E50" s="845"/>
      <c r="F50" s="845"/>
      <c r="G50" s="452" t="s">
        <v>293</v>
      </c>
      <c r="H50" s="846" t="s">
        <v>293</v>
      </c>
      <c r="I50" s="845"/>
      <c r="J50" s="845"/>
      <c r="K50" s="452" t="s">
        <v>316</v>
      </c>
      <c r="L50" s="846" t="s">
        <v>317</v>
      </c>
      <c r="M50" s="845"/>
      <c r="N50" s="452" t="s">
        <v>318</v>
      </c>
      <c r="O50" s="452" t="s">
        <v>293</v>
      </c>
      <c r="P50" s="452" t="s">
        <v>293</v>
      </c>
      <c r="Q50" s="847">
        <v>0</v>
      </c>
      <c r="R50" s="845"/>
      <c r="S50" s="847">
        <v>54.55</v>
      </c>
      <c r="T50" s="845"/>
      <c r="U50" s="848">
        <v>1662.82</v>
      </c>
      <c r="V50" s="845"/>
      <c r="W50" s="845"/>
      <c r="X50" s="845"/>
      <c r="Y50" s="845"/>
    </row>
    <row r="51" spans="1:25" x14ac:dyDescent="0.25">
      <c r="A51" s="450" t="s">
        <v>496</v>
      </c>
      <c r="B51" s="446" t="s">
        <v>325</v>
      </c>
      <c r="C51" s="450" t="s">
        <v>497</v>
      </c>
      <c r="D51" s="840" t="s">
        <v>499</v>
      </c>
      <c r="E51" s="828"/>
      <c r="F51" s="828"/>
      <c r="G51" s="446" t="s">
        <v>293</v>
      </c>
      <c r="H51" s="830" t="s">
        <v>293</v>
      </c>
      <c r="I51" s="828"/>
      <c r="J51" s="828"/>
      <c r="K51" s="446" t="s">
        <v>316</v>
      </c>
      <c r="L51" s="830" t="s">
        <v>317</v>
      </c>
      <c r="M51" s="828"/>
      <c r="N51" s="446" t="s">
        <v>318</v>
      </c>
      <c r="O51" s="446" t="s">
        <v>293</v>
      </c>
      <c r="P51" s="446" t="s">
        <v>293</v>
      </c>
      <c r="Q51" s="841">
        <v>0</v>
      </c>
      <c r="R51" s="828"/>
      <c r="S51" s="841">
        <v>29.85</v>
      </c>
      <c r="T51" s="828"/>
      <c r="U51" s="842">
        <v>1692.67</v>
      </c>
      <c r="V51" s="828"/>
      <c r="W51" s="828"/>
      <c r="X51" s="828"/>
      <c r="Y51" s="828"/>
    </row>
    <row r="52" spans="1:25" x14ac:dyDescent="0.25">
      <c r="A52" s="450" t="s">
        <v>467</v>
      </c>
      <c r="B52" s="446" t="s">
        <v>325</v>
      </c>
      <c r="C52" s="450" t="s">
        <v>500</v>
      </c>
      <c r="D52" s="840" t="s">
        <v>498</v>
      </c>
      <c r="E52" s="828"/>
      <c r="F52" s="828"/>
      <c r="G52" s="446" t="s">
        <v>293</v>
      </c>
      <c r="H52" s="830" t="s">
        <v>293</v>
      </c>
      <c r="I52" s="828"/>
      <c r="J52" s="828"/>
      <c r="K52" s="446" t="s">
        <v>316</v>
      </c>
      <c r="L52" s="830" t="s">
        <v>317</v>
      </c>
      <c r="M52" s="828"/>
      <c r="N52" s="446" t="s">
        <v>318</v>
      </c>
      <c r="O52" s="446" t="s">
        <v>293</v>
      </c>
      <c r="P52" s="446" t="s">
        <v>293</v>
      </c>
      <c r="Q52" s="841">
        <v>0</v>
      </c>
      <c r="R52" s="828"/>
      <c r="S52" s="841">
        <v>-54.55</v>
      </c>
      <c r="T52" s="828"/>
      <c r="U52" s="842">
        <v>1638.12</v>
      </c>
      <c r="V52" s="828"/>
      <c r="W52" s="828"/>
      <c r="X52" s="828"/>
      <c r="Y52" s="828"/>
    </row>
    <row r="53" spans="1:25" x14ac:dyDescent="0.25">
      <c r="A53" s="450" t="s">
        <v>467</v>
      </c>
      <c r="B53" s="446" t="s">
        <v>325</v>
      </c>
      <c r="C53" s="450" t="s">
        <v>500</v>
      </c>
      <c r="D53" s="840" t="s">
        <v>499</v>
      </c>
      <c r="E53" s="828"/>
      <c r="F53" s="828"/>
      <c r="G53" s="446" t="s">
        <v>293</v>
      </c>
      <c r="H53" s="830" t="s">
        <v>293</v>
      </c>
      <c r="I53" s="828"/>
      <c r="J53" s="828"/>
      <c r="K53" s="446" t="s">
        <v>316</v>
      </c>
      <c r="L53" s="830" t="s">
        <v>317</v>
      </c>
      <c r="M53" s="828"/>
      <c r="N53" s="446" t="s">
        <v>318</v>
      </c>
      <c r="O53" s="446" t="s">
        <v>293</v>
      </c>
      <c r="P53" s="446" t="s">
        <v>293</v>
      </c>
      <c r="Q53" s="841">
        <v>0</v>
      </c>
      <c r="R53" s="828"/>
      <c r="S53" s="841">
        <v>-29.85</v>
      </c>
      <c r="T53" s="828"/>
      <c r="U53" s="842">
        <v>1608.27</v>
      </c>
      <c r="V53" s="828"/>
      <c r="W53" s="828"/>
      <c r="X53" s="828"/>
      <c r="Y53" s="828"/>
    </row>
    <row r="54" spans="1:25" x14ac:dyDescent="0.25">
      <c r="A54" s="831" t="s">
        <v>293</v>
      </c>
      <c r="B54" s="828"/>
      <c r="C54" s="828"/>
      <c r="D54" s="828"/>
      <c r="E54" s="831" t="s">
        <v>383</v>
      </c>
      <c r="F54" s="828"/>
      <c r="G54" s="828"/>
      <c r="H54" s="831" t="s">
        <v>293</v>
      </c>
      <c r="I54" s="828"/>
      <c r="J54" s="828"/>
      <c r="K54" s="828"/>
      <c r="L54" s="828"/>
      <c r="M54" s="828"/>
      <c r="N54" s="449" t="s">
        <v>293</v>
      </c>
      <c r="O54" s="449" t="s">
        <v>293</v>
      </c>
      <c r="P54" s="449" t="s">
        <v>293</v>
      </c>
      <c r="Q54" s="843">
        <v>0</v>
      </c>
      <c r="R54" s="828"/>
      <c r="S54" s="843">
        <v>-46.2</v>
      </c>
      <c r="T54" s="828"/>
      <c r="U54" s="843">
        <v>1608.27</v>
      </c>
      <c r="V54" s="828"/>
      <c r="W54" s="828"/>
      <c r="X54" s="828"/>
      <c r="Y54" s="828"/>
    </row>
    <row r="55" spans="1:25" ht="24" customHeight="1" x14ac:dyDescent="0.25">
      <c r="A55" s="833" t="s">
        <v>293</v>
      </c>
      <c r="B55" s="828"/>
      <c r="C55" s="828"/>
      <c r="D55" s="828"/>
      <c r="E55" s="828"/>
      <c r="F55" s="828"/>
      <c r="G55" s="828"/>
      <c r="H55" s="828"/>
      <c r="I55" s="828"/>
      <c r="J55" s="828"/>
      <c r="K55" s="828"/>
      <c r="L55" s="828"/>
      <c r="M55" s="828"/>
      <c r="N55" s="828"/>
      <c r="O55" s="828"/>
      <c r="P55" s="828"/>
      <c r="Q55" s="828"/>
      <c r="R55" s="828"/>
      <c r="S55" s="828"/>
      <c r="T55" s="828"/>
      <c r="U55" s="828"/>
      <c r="V55" s="828"/>
      <c r="W55" s="828"/>
      <c r="X55" s="828"/>
      <c r="Y55" s="828"/>
    </row>
    <row r="56" spans="1:25" ht="12" customHeight="1" x14ac:dyDescent="0.25">
      <c r="A56" s="831" t="s">
        <v>307</v>
      </c>
      <c r="B56" s="828"/>
      <c r="C56" s="449" t="s">
        <v>293</v>
      </c>
      <c r="D56" s="449" t="s">
        <v>501</v>
      </c>
      <c r="E56" s="831" t="s">
        <v>502</v>
      </c>
      <c r="F56" s="828"/>
      <c r="G56" s="828"/>
      <c r="H56" s="831" t="s">
        <v>293</v>
      </c>
      <c r="I56" s="828"/>
      <c r="J56" s="828"/>
      <c r="K56" s="828"/>
      <c r="L56" s="828"/>
      <c r="M56" s="828"/>
      <c r="N56" s="828"/>
      <c r="O56" s="828"/>
      <c r="P56" s="828"/>
      <c r="Q56" s="828"/>
      <c r="R56" s="828"/>
      <c r="S56" s="828"/>
      <c r="T56" s="828"/>
      <c r="U56" s="843">
        <v>54267.17</v>
      </c>
      <c r="V56" s="828"/>
      <c r="W56" s="828"/>
      <c r="X56" s="828"/>
      <c r="Y56" s="828"/>
    </row>
    <row r="57" spans="1:25" x14ac:dyDescent="0.25">
      <c r="A57" s="450" t="s">
        <v>455</v>
      </c>
      <c r="B57" s="446" t="s">
        <v>325</v>
      </c>
      <c r="C57" s="450" t="s">
        <v>459</v>
      </c>
      <c r="D57" s="840" t="s">
        <v>487</v>
      </c>
      <c r="E57" s="828"/>
      <c r="F57" s="828"/>
      <c r="G57" s="446" t="s">
        <v>293</v>
      </c>
      <c r="H57" s="830" t="s">
        <v>293</v>
      </c>
      <c r="I57" s="828"/>
      <c r="J57" s="828"/>
      <c r="K57" s="446" t="s">
        <v>316</v>
      </c>
      <c r="L57" s="830" t="s">
        <v>317</v>
      </c>
      <c r="M57" s="828"/>
      <c r="N57" s="446" t="s">
        <v>318</v>
      </c>
      <c r="O57" s="446" t="s">
        <v>293</v>
      </c>
      <c r="P57" s="446" t="s">
        <v>293</v>
      </c>
      <c r="Q57" s="841">
        <v>0</v>
      </c>
      <c r="R57" s="828"/>
      <c r="S57" s="841">
        <v>-746.37</v>
      </c>
      <c r="T57" s="828"/>
      <c r="U57" s="842">
        <v>53520.800000000003</v>
      </c>
      <c r="V57" s="828"/>
      <c r="W57" s="828"/>
      <c r="X57" s="828"/>
      <c r="Y57" s="828"/>
    </row>
    <row r="58" spans="1:25" x14ac:dyDescent="0.25">
      <c r="A58" s="450" t="s">
        <v>455</v>
      </c>
      <c r="B58" s="446" t="s">
        <v>325</v>
      </c>
      <c r="C58" s="450" t="s">
        <v>459</v>
      </c>
      <c r="D58" s="840" t="s">
        <v>488</v>
      </c>
      <c r="E58" s="828"/>
      <c r="F58" s="828"/>
      <c r="G58" s="446" t="s">
        <v>293</v>
      </c>
      <c r="H58" s="830" t="s">
        <v>293</v>
      </c>
      <c r="I58" s="828"/>
      <c r="J58" s="828"/>
      <c r="K58" s="446" t="s">
        <v>316</v>
      </c>
      <c r="L58" s="830" t="s">
        <v>317</v>
      </c>
      <c r="M58" s="828"/>
      <c r="N58" s="446" t="s">
        <v>318</v>
      </c>
      <c r="O58" s="446" t="s">
        <v>293</v>
      </c>
      <c r="P58" s="446" t="s">
        <v>293</v>
      </c>
      <c r="Q58" s="841">
        <v>0</v>
      </c>
      <c r="R58" s="828"/>
      <c r="S58" s="841">
        <v>-308.17</v>
      </c>
      <c r="T58" s="828"/>
      <c r="U58" s="842">
        <v>53212.63</v>
      </c>
      <c r="V58" s="828"/>
      <c r="W58" s="828"/>
      <c r="X58" s="828"/>
      <c r="Y58" s="828"/>
    </row>
    <row r="59" spans="1:25" ht="18" x14ac:dyDescent="0.25">
      <c r="A59" s="450" t="s">
        <v>455</v>
      </c>
      <c r="B59" s="446" t="s">
        <v>311</v>
      </c>
      <c r="C59" s="450" t="s">
        <v>503</v>
      </c>
      <c r="D59" s="840" t="s">
        <v>504</v>
      </c>
      <c r="E59" s="828"/>
      <c r="F59" s="828"/>
      <c r="G59" s="446" t="s">
        <v>505</v>
      </c>
      <c r="H59" s="830" t="s">
        <v>506</v>
      </c>
      <c r="I59" s="828"/>
      <c r="J59" s="828"/>
      <c r="K59" s="446" t="s">
        <v>316</v>
      </c>
      <c r="L59" s="830" t="s">
        <v>317</v>
      </c>
      <c r="M59" s="828"/>
      <c r="N59" s="446" t="s">
        <v>318</v>
      </c>
      <c r="O59" s="446" t="s">
        <v>293</v>
      </c>
      <c r="P59" s="446" t="s">
        <v>293</v>
      </c>
      <c r="Q59" s="841">
        <v>46.23</v>
      </c>
      <c r="R59" s="828"/>
      <c r="S59" s="841">
        <v>308.17</v>
      </c>
      <c r="T59" s="828"/>
      <c r="U59" s="842">
        <v>53520.800000000003</v>
      </c>
      <c r="V59" s="828"/>
      <c r="W59" s="828"/>
      <c r="X59" s="828"/>
      <c r="Y59" s="828"/>
    </row>
    <row r="60" spans="1:25" s="491" customFormat="1" ht="18" x14ac:dyDescent="0.25">
      <c r="A60" s="451" t="s">
        <v>455</v>
      </c>
      <c r="B60" s="452" t="s">
        <v>311</v>
      </c>
      <c r="C60" s="451" t="s">
        <v>503</v>
      </c>
      <c r="D60" s="844" t="s">
        <v>507</v>
      </c>
      <c r="E60" s="845"/>
      <c r="F60" s="845"/>
      <c r="G60" s="452" t="s">
        <v>505</v>
      </c>
      <c r="H60" s="846" t="s">
        <v>506</v>
      </c>
      <c r="I60" s="845"/>
      <c r="J60" s="845"/>
      <c r="K60" s="452" t="s">
        <v>316</v>
      </c>
      <c r="L60" s="846" t="s">
        <v>317</v>
      </c>
      <c r="M60" s="845"/>
      <c r="N60" s="452" t="s">
        <v>318</v>
      </c>
      <c r="O60" s="452" t="s">
        <v>293</v>
      </c>
      <c r="P60" s="452" t="s">
        <v>293</v>
      </c>
      <c r="Q60" s="847">
        <v>2.84</v>
      </c>
      <c r="R60" s="845"/>
      <c r="S60" s="847">
        <v>18.989999999999998</v>
      </c>
      <c r="T60" s="845"/>
      <c r="U60" s="848">
        <v>53539.79</v>
      </c>
      <c r="V60" s="845"/>
      <c r="W60" s="845"/>
      <c r="X60" s="845"/>
      <c r="Y60" s="845"/>
    </row>
    <row r="61" spans="1:25" s="491" customFormat="1" ht="18" x14ac:dyDescent="0.25">
      <c r="A61" s="451" t="s">
        <v>455</v>
      </c>
      <c r="B61" s="452" t="s">
        <v>311</v>
      </c>
      <c r="C61" s="451" t="s">
        <v>503</v>
      </c>
      <c r="D61" s="844" t="s">
        <v>507</v>
      </c>
      <c r="E61" s="845"/>
      <c r="F61" s="845"/>
      <c r="G61" s="452" t="s">
        <v>505</v>
      </c>
      <c r="H61" s="846" t="s">
        <v>506</v>
      </c>
      <c r="I61" s="845"/>
      <c r="J61" s="845"/>
      <c r="K61" s="452" t="s">
        <v>316</v>
      </c>
      <c r="L61" s="846" t="s">
        <v>317</v>
      </c>
      <c r="M61" s="845"/>
      <c r="N61" s="452" t="s">
        <v>318</v>
      </c>
      <c r="O61" s="452" t="s">
        <v>293</v>
      </c>
      <c r="P61" s="452" t="s">
        <v>293</v>
      </c>
      <c r="Q61" s="847">
        <v>109.11</v>
      </c>
      <c r="R61" s="845"/>
      <c r="S61" s="847">
        <v>727.38</v>
      </c>
      <c r="T61" s="845"/>
      <c r="U61" s="848">
        <v>54267.17</v>
      </c>
      <c r="V61" s="845"/>
      <c r="W61" s="845"/>
      <c r="X61" s="845"/>
      <c r="Y61" s="845"/>
    </row>
    <row r="62" spans="1:25" x14ac:dyDescent="0.25">
      <c r="A62" s="450" t="s">
        <v>489</v>
      </c>
      <c r="B62" s="446" t="s">
        <v>325</v>
      </c>
      <c r="C62" s="450" t="s">
        <v>490</v>
      </c>
      <c r="D62" s="840" t="s">
        <v>508</v>
      </c>
      <c r="E62" s="828"/>
      <c r="F62" s="828"/>
      <c r="G62" s="446" t="s">
        <v>293</v>
      </c>
      <c r="H62" s="830" t="s">
        <v>293</v>
      </c>
      <c r="I62" s="828"/>
      <c r="J62" s="828"/>
      <c r="K62" s="446" t="s">
        <v>316</v>
      </c>
      <c r="L62" s="830" t="s">
        <v>411</v>
      </c>
      <c r="M62" s="828"/>
      <c r="N62" s="446" t="s">
        <v>318</v>
      </c>
      <c r="O62" s="446" t="s">
        <v>293</v>
      </c>
      <c r="P62" s="446" t="s">
        <v>293</v>
      </c>
      <c r="Q62" s="841">
        <v>0</v>
      </c>
      <c r="R62" s="828"/>
      <c r="S62" s="841">
        <v>-182.81</v>
      </c>
      <c r="T62" s="828"/>
      <c r="U62" s="842">
        <v>54084.36</v>
      </c>
      <c r="V62" s="828"/>
      <c r="W62" s="828"/>
      <c r="X62" s="828"/>
      <c r="Y62" s="828"/>
    </row>
    <row r="63" spans="1:25" x14ac:dyDescent="0.25">
      <c r="A63" s="450" t="s">
        <v>489</v>
      </c>
      <c r="B63" s="446" t="s">
        <v>325</v>
      </c>
      <c r="C63" s="450" t="s">
        <v>490</v>
      </c>
      <c r="D63" s="840" t="s">
        <v>491</v>
      </c>
      <c r="E63" s="828"/>
      <c r="F63" s="828"/>
      <c r="G63" s="446" t="s">
        <v>293</v>
      </c>
      <c r="H63" s="830" t="s">
        <v>293</v>
      </c>
      <c r="I63" s="828"/>
      <c r="J63" s="828"/>
      <c r="K63" s="446" t="s">
        <v>316</v>
      </c>
      <c r="L63" s="830" t="s">
        <v>411</v>
      </c>
      <c r="M63" s="828"/>
      <c r="N63" s="446" t="s">
        <v>318</v>
      </c>
      <c r="O63" s="446" t="s">
        <v>293</v>
      </c>
      <c r="P63" s="446" t="s">
        <v>293</v>
      </c>
      <c r="Q63" s="841">
        <v>0</v>
      </c>
      <c r="R63" s="828"/>
      <c r="S63" s="841">
        <v>186.16</v>
      </c>
      <c r="T63" s="828"/>
      <c r="U63" s="842">
        <v>54270.52</v>
      </c>
      <c r="V63" s="828"/>
      <c r="W63" s="828"/>
      <c r="X63" s="828"/>
      <c r="Y63" s="828"/>
    </row>
    <row r="64" spans="1:25" x14ac:dyDescent="0.25">
      <c r="A64" s="450" t="s">
        <v>489</v>
      </c>
      <c r="B64" s="446" t="s">
        <v>325</v>
      </c>
      <c r="C64" s="450" t="s">
        <v>490</v>
      </c>
      <c r="D64" s="840" t="s">
        <v>492</v>
      </c>
      <c r="E64" s="828"/>
      <c r="F64" s="828"/>
      <c r="G64" s="446" t="s">
        <v>293</v>
      </c>
      <c r="H64" s="830" t="s">
        <v>293</v>
      </c>
      <c r="I64" s="828"/>
      <c r="J64" s="828"/>
      <c r="K64" s="446" t="s">
        <v>316</v>
      </c>
      <c r="L64" s="830" t="s">
        <v>317</v>
      </c>
      <c r="M64" s="828"/>
      <c r="N64" s="446" t="s">
        <v>318</v>
      </c>
      <c r="O64" s="446" t="s">
        <v>293</v>
      </c>
      <c r="P64" s="446" t="s">
        <v>293</v>
      </c>
      <c r="Q64" s="841">
        <v>0</v>
      </c>
      <c r="R64" s="828"/>
      <c r="S64" s="841">
        <v>495.08</v>
      </c>
      <c r="T64" s="828"/>
      <c r="U64" s="842">
        <v>54765.599999999999</v>
      </c>
      <c r="V64" s="828"/>
      <c r="W64" s="828"/>
      <c r="X64" s="828"/>
      <c r="Y64" s="828"/>
    </row>
    <row r="65" spans="1:25" x14ac:dyDescent="0.25">
      <c r="A65" s="450" t="s">
        <v>494</v>
      </c>
      <c r="B65" s="446" t="s">
        <v>325</v>
      </c>
      <c r="C65" s="450" t="s">
        <v>495</v>
      </c>
      <c r="D65" s="840" t="s">
        <v>508</v>
      </c>
      <c r="E65" s="828"/>
      <c r="F65" s="828"/>
      <c r="G65" s="446" t="s">
        <v>293</v>
      </c>
      <c r="H65" s="830" t="s">
        <v>293</v>
      </c>
      <c r="I65" s="828"/>
      <c r="J65" s="828"/>
      <c r="K65" s="446" t="s">
        <v>316</v>
      </c>
      <c r="L65" s="830" t="s">
        <v>411</v>
      </c>
      <c r="M65" s="828"/>
      <c r="N65" s="446" t="s">
        <v>318</v>
      </c>
      <c r="O65" s="446" t="s">
        <v>293</v>
      </c>
      <c r="P65" s="446" t="s">
        <v>293</v>
      </c>
      <c r="Q65" s="841">
        <v>0</v>
      </c>
      <c r="R65" s="828"/>
      <c r="S65" s="841">
        <v>182.81</v>
      </c>
      <c r="T65" s="828"/>
      <c r="U65" s="842">
        <v>54948.41</v>
      </c>
      <c r="V65" s="828"/>
      <c r="W65" s="828"/>
      <c r="X65" s="828"/>
      <c r="Y65" s="828"/>
    </row>
    <row r="66" spans="1:25" x14ac:dyDescent="0.25">
      <c r="A66" s="450" t="s">
        <v>494</v>
      </c>
      <c r="B66" s="446" t="s">
        <v>325</v>
      </c>
      <c r="C66" s="450" t="s">
        <v>495</v>
      </c>
      <c r="D66" s="840" t="s">
        <v>491</v>
      </c>
      <c r="E66" s="828"/>
      <c r="F66" s="828"/>
      <c r="G66" s="446" t="s">
        <v>293</v>
      </c>
      <c r="H66" s="830" t="s">
        <v>293</v>
      </c>
      <c r="I66" s="828"/>
      <c r="J66" s="828"/>
      <c r="K66" s="446" t="s">
        <v>316</v>
      </c>
      <c r="L66" s="830" t="s">
        <v>411</v>
      </c>
      <c r="M66" s="828"/>
      <c r="N66" s="446" t="s">
        <v>318</v>
      </c>
      <c r="O66" s="446" t="s">
        <v>293</v>
      </c>
      <c r="P66" s="446" t="s">
        <v>293</v>
      </c>
      <c r="Q66" s="841">
        <v>0</v>
      </c>
      <c r="R66" s="828"/>
      <c r="S66" s="841">
        <v>-186.16</v>
      </c>
      <c r="T66" s="828"/>
      <c r="U66" s="842">
        <v>54762.25</v>
      </c>
      <c r="V66" s="828"/>
      <c r="W66" s="828"/>
      <c r="X66" s="828"/>
      <c r="Y66" s="828"/>
    </row>
    <row r="67" spans="1:25" x14ac:dyDescent="0.25">
      <c r="A67" s="450" t="s">
        <v>494</v>
      </c>
      <c r="B67" s="446" t="s">
        <v>325</v>
      </c>
      <c r="C67" s="450" t="s">
        <v>495</v>
      </c>
      <c r="D67" s="840" t="s">
        <v>492</v>
      </c>
      <c r="E67" s="828"/>
      <c r="F67" s="828"/>
      <c r="G67" s="446" t="s">
        <v>293</v>
      </c>
      <c r="H67" s="830" t="s">
        <v>293</v>
      </c>
      <c r="I67" s="828"/>
      <c r="J67" s="828"/>
      <c r="K67" s="446" t="s">
        <v>316</v>
      </c>
      <c r="L67" s="830" t="s">
        <v>317</v>
      </c>
      <c r="M67" s="828"/>
      <c r="N67" s="446" t="s">
        <v>318</v>
      </c>
      <c r="O67" s="446" t="s">
        <v>293</v>
      </c>
      <c r="P67" s="446" t="s">
        <v>293</v>
      </c>
      <c r="Q67" s="841">
        <v>0</v>
      </c>
      <c r="R67" s="828"/>
      <c r="S67" s="841">
        <v>-495.08</v>
      </c>
      <c r="T67" s="828"/>
      <c r="U67" s="842">
        <v>54267.17</v>
      </c>
      <c r="V67" s="828"/>
      <c r="W67" s="828"/>
      <c r="X67" s="828"/>
      <c r="Y67" s="828"/>
    </row>
    <row r="68" spans="1:25" s="491" customFormat="1" ht="18" x14ac:dyDescent="0.25">
      <c r="A68" s="451" t="s">
        <v>494</v>
      </c>
      <c r="B68" s="452" t="s">
        <v>311</v>
      </c>
      <c r="C68" s="451" t="s">
        <v>509</v>
      </c>
      <c r="D68" s="844" t="s">
        <v>510</v>
      </c>
      <c r="E68" s="845"/>
      <c r="F68" s="845"/>
      <c r="G68" s="452" t="s">
        <v>505</v>
      </c>
      <c r="H68" s="846" t="s">
        <v>511</v>
      </c>
      <c r="I68" s="845"/>
      <c r="J68" s="845"/>
      <c r="K68" s="452" t="s">
        <v>316</v>
      </c>
      <c r="L68" s="846" t="s">
        <v>317</v>
      </c>
      <c r="M68" s="845"/>
      <c r="N68" s="452" t="s">
        <v>318</v>
      </c>
      <c r="O68" s="452" t="s">
        <v>293</v>
      </c>
      <c r="P68" s="452" t="s">
        <v>293</v>
      </c>
      <c r="Q68" s="847">
        <v>74.260000000000005</v>
      </c>
      <c r="R68" s="845"/>
      <c r="S68" s="847">
        <v>495.08</v>
      </c>
      <c r="T68" s="845"/>
      <c r="U68" s="848">
        <v>54762.25</v>
      </c>
      <c r="V68" s="845"/>
      <c r="W68" s="845"/>
      <c r="X68" s="845"/>
      <c r="Y68" s="845"/>
    </row>
    <row r="69" spans="1:25" ht="18" x14ac:dyDescent="0.25">
      <c r="A69" s="450" t="s">
        <v>494</v>
      </c>
      <c r="B69" s="446" t="s">
        <v>311</v>
      </c>
      <c r="C69" s="450" t="s">
        <v>509</v>
      </c>
      <c r="D69" s="840" t="s">
        <v>512</v>
      </c>
      <c r="E69" s="828"/>
      <c r="F69" s="828"/>
      <c r="G69" s="446" t="s">
        <v>505</v>
      </c>
      <c r="H69" s="830" t="s">
        <v>511</v>
      </c>
      <c r="I69" s="828"/>
      <c r="J69" s="828"/>
      <c r="K69" s="446" t="s">
        <v>316</v>
      </c>
      <c r="L69" s="830" t="s">
        <v>317</v>
      </c>
      <c r="M69" s="828"/>
      <c r="N69" s="446" t="s">
        <v>318</v>
      </c>
      <c r="O69" s="446" t="s">
        <v>293</v>
      </c>
      <c r="P69" s="446" t="s">
        <v>293</v>
      </c>
      <c r="Q69" s="841">
        <v>48.46</v>
      </c>
      <c r="R69" s="828"/>
      <c r="S69" s="841">
        <v>323.04000000000002</v>
      </c>
      <c r="T69" s="828"/>
      <c r="U69" s="842">
        <v>55085.29</v>
      </c>
      <c r="V69" s="828"/>
      <c r="W69" s="828"/>
      <c r="X69" s="828"/>
      <c r="Y69" s="828"/>
    </row>
    <row r="70" spans="1:25" ht="18" x14ac:dyDescent="0.25">
      <c r="A70" s="450" t="s">
        <v>494</v>
      </c>
      <c r="B70" s="446" t="s">
        <v>311</v>
      </c>
      <c r="C70" s="450" t="s">
        <v>509</v>
      </c>
      <c r="D70" s="840" t="s">
        <v>513</v>
      </c>
      <c r="E70" s="828"/>
      <c r="F70" s="828"/>
      <c r="G70" s="446" t="s">
        <v>505</v>
      </c>
      <c r="H70" s="830" t="s">
        <v>511</v>
      </c>
      <c r="I70" s="828"/>
      <c r="J70" s="828"/>
      <c r="K70" s="446" t="s">
        <v>316</v>
      </c>
      <c r="L70" s="830" t="s">
        <v>317</v>
      </c>
      <c r="M70" s="828"/>
      <c r="N70" s="446" t="s">
        <v>318</v>
      </c>
      <c r="O70" s="446" t="s">
        <v>293</v>
      </c>
      <c r="P70" s="446" t="s">
        <v>293</v>
      </c>
      <c r="Q70" s="841">
        <v>-20.53</v>
      </c>
      <c r="R70" s="828"/>
      <c r="S70" s="841">
        <v>-136.88</v>
      </c>
      <c r="T70" s="828"/>
      <c r="U70" s="842">
        <v>54948.41</v>
      </c>
      <c r="V70" s="828"/>
      <c r="W70" s="828"/>
      <c r="X70" s="828"/>
      <c r="Y70" s="828"/>
    </row>
    <row r="71" spans="1:25" ht="18" x14ac:dyDescent="0.25">
      <c r="A71" s="450" t="s">
        <v>494</v>
      </c>
      <c r="B71" s="446" t="s">
        <v>311</v>
      </c>
      <c r="C71" s="450" t="s">
        <v>509</v>
      </c>
      <c r="D71" s="840" t="s">
        <v>514</v>
      </c>
      <c r="E71" s="828"/>
      <c r="F71" s="828"/>
      <c r="G71" s="446" t="s">
        <v>505</v>
      </c>
      <c r="H71" s="830" t="s">
        <v>511</v>
      </c>
      <c r="I71" s="828"/>
      <c r="J71" s="828"/>
      <c r="K71" s="446" t="s">
        <v>316</v>
      </c>
      <c r="L71" s="830" t="s">
        <v>317</v>
      </c>
      <c r="M71" s="828"/>
      <c r="N71" s="446" t="s">
        <v>318</v>
      </c>
      <c r="O71" s="446" t="s">
        <v>293</v>
      </c>
      <c r="P71" s="446" t="s">
        <v>293</v>
      </c>
      <c r="Q71" s="841">
        <v>-27.42</v>
      </c>
      <c r="R71" s="828"/>
      <c r="S71" s="841">
        <v>-182.81</v>
      </c>
      <c r="T71" s="828"/>
      <c r="U71" s="842">
        <v>54765.599999999999</v>
      </c>
      <c r="V71" s="828"/>
      <c r="W71" s="828"/>
      <c r="X71" s="828"/>
      <c r="Y71" s="828"/>
    </row>
    <row r="72" spans="1:25" s="491" customFormat="1" x14ac:dyDescent="0.25">
      <c r="A72" s="451" t="s">
        <v>496</v>
      </c>
      <c r="B72" s="452" t="s">
        <v>325</v>
      </c>
      <c r="C72" s="451" t="s">
        <v>497</v>
      </c>
      <c r="D72" s="844" t="s">
        <v>498</v>
      </c>
      <c r="E72" s="845"/>
      <c r="F72" s="845"/>
      <c r="G72" s="452" t="s">
        <v>293</v>
      </c>
      <c r="H72" s="846" t="s">
        <v>293</v>
      </c>
      <c r="I72" s="845"/>
      <c r="J72" s="845"/>
      <c r="K72" s="452" t="s">
        <v>316</v>
      </c>
      <c r="L72" s="846" t="s">
        <v>317</v>
      </c>
      <c r="M72" s="845"/>
      <c r="N72" s="452" t="s">
        <v>318</v>
      </c>
      <c r="O72" s="452" t="s">
        <v>293</v>
      </c>
      <c r="P72" s="452" t="s">
        <v>293</v>
      </c>
      <c r="Q72" s="847">
        <v>0</v>
      </c>
      <c r="R72" s="845"/>
      <c r="S72" s="847">
        <v>1332.64</v>
      </c>
      <c r="T72" s="845"/>
      <c r="U72" s="848">
        <v>56098.239999999998</v>
      </c>
      <c r="V72" s="845"/>
      <c r="W72" s="845"/>
      <c r="X72" s="845"/>
      <c r="Y72" s="845"/>
    </row>
    <row r="73" spans="1:25" x14ac:dyDescent="0.25">
      <c r="A73" s="450" t="s">
        <v>496</v>
      </c>
      <c r="B73" s="446" t="s">
        <v>325</v>
      </c>
      <c r="C73" s="450" t="s">
        <v>497</v>
      </c>
      <c r="D73" s="840" t="s">
        <v>499</v>
      </c>
      <c r="E73" s="828"/>
      <c r="F73" s="828"/>
      <c r="G73" s="446" t="s">
        <v>293</v>
      </c>
      <c r="H73" s="830" t="s">
        <v>293</v>
      </c>
      <c r="I73" s="828"/>
      <c r="J73" s="828"/>
      <c r="K73" s="446" t="s">
        <v>316</v>
      </c>
      <c r="L73" s="830" t="s">
        <v>317</v>
      </c>
      <c r="M73" s="828"/>
      <c r="N73" s="446" t="s">
        <v>318</v>
      </c>
      <c r="O73" s="446" t="s">
        <v>293</v>
      </c>
      <c r="P73" s="446" t="s">
        <v>293</v>
      </c>
      <c r="Q73" s="841">
        <v>0</v>
      </c>
      <c r="R73" s="828"/>
      <c r="S73" s="841">
        <v>315.44</v>
      </c>
      <c r="T73" s="828"/>
      <c r="U73" s="842">
        <v>56413.68</v>
      </c>
      <c r="V73" s="828"/>
      <c r="W73" s="828"/>
      <c r="X73" s="828"/>
      <c r="Y73" s="828"/>
    </row>
    <row r="74" spans="1:25" x14ac:dyDescent="0.25">
      <c r="A74" s="450" t="s">
        <v>467</v>
      </c>
      <c r="B74" s="446" t="s">
        <v>325</v>
      </c>
      <c r="C74" s="450" t="s">
        <v>500</v>
      </c>
      <c r="D74" s="840" t="s">
        <v>498</v>
      </c>
      <c r="E74" s="828"/>
      <c r="F74" s="828"/>
      <c r="G74" s="446" t="s">
        <v>293</v>
      </c>
      <c r="H74" s="830" t="s">
        <v>293</v>
      </c>
      <c r="I74" s="828"/>
      <c r="J74" s="828"/>
      <c r="K74" s="446" t="s">
        <v>316</v>
      </c>
      <c r="L74" s="830" t="s">
        <v>317</v>
      </c>
      <c r="M74" s="828"/>
      <c r="N74" s="446" t="s">
        <v>318</v>
      </c>
      <c r="O74" s="446" t="s">
        <v>293</v>
      </c>
      <c r="P74" s="446" t="s">
        <v>293</v>
      </c>
      <c r="Q74" s="841">
        <v>0</v>
      </c>
      <c r="R74" s="828"/>
      <c r="S74" s="841">
        <v>-1332.64</v>
      </c>
      <c r="T74" s="828"/>
      <c r="U74" s="842">
        <v>55081.04</v>
      </c>
      <c r="V74" s="828"/>
      <c r="W74" s="828"/>
      <c r="X74" s="828"/>
      <c r="Y74" s="828"/>
    </row>
    <row r="75" spans="1:25" x14ac:dyDescent="0.25">
      <c r="A75" s="450" t="s">
        <v>467</v>
      </c>
      <c r="B75" s="446" t="s">
        <v>325</v>
      </c>
      <c r="C75" s="450" t="s">
        <v>500</v>
      </c>
      <c r="D75" s="840" t="s">
        <v>499</v>
      </c>
      <c r="E75" s="828"/>
      <c r="F75" s="828"/>
      <c r="G75" s="446" t="s">
        <v>293</v>
      </c>
      <c r="H75" s="830" t="s">
        <v>293</v>
      </c>
      <c r="I75" s="828"/>
      <c r="J75" s="828"/>
      <c r="K75" s="446" t="s">
        <v>316</v>
      </c>
      <c r="L75" s="830" t="s">
        <v>317</v>
      </c>
      <c r="M75" s="828"/>
      <c r="N75" s="446" t="s">
        <v>318</v>
      </c>
      <c r="O75" s="446" t="s">
        <v>293</v>
      </c>
      <c r="P75" s="446" t="s">
        <v>293</v>
      </c>
      <c r="Q75" s="841">
        <v>0</v>
      </c>
      <c r="R75" s="828"/>
      <c r="S75" s="841">
        <v>-315.44</v>
      </c>
      <c r="T75" s="828"/>
      <c r="U75" s="842">
        <v>54765.599999999999</v>
      </c>
      <c r="V75" s="828"/>
      <c r="W75" s="828"/>
      <c r="X75" s="828"/>
      <c r="Y75" s="828"/>
    </row>
    <row r="76" spans="1:25" x14ac:dyDescent="0.25">
      <c r="A76" s="831" t="s">
        <v>293</v>
      </c>
      <c r="B76" s="828"/>
      <c r="C76" s="828"/>
      <c r="D76" s="828"/>
      <c r="E76" s="831" t="s">
        <v>502</v>
      </c>
      <c r="F76" s="828"/>
      <c r="G76" s="828"/>
      <c r="H76" s="831" t="s">
        <v>293</v>
      </c>
      <c r="I76" s="828"/>
      <c r="J76" s="828"/>
      <c r="K76" s="828"/>
      <c r="L76" s="828"/>
      <c r="M76" s="828"/>
      <c r="N76" s="449" t="s">
        <v>293</v>
      </c>
      <c r="O76" s="449" t="s">
        <v>293</v>
      </c>
      <c r="P76" s="449" t="s">
        <v>293</v>
      </c>
      <c r="Q76" s="843">
        <v>232.95</v>
      </c>
      <c r="R76" s="828"/>
      <c r="S76" s="843">
        <v>498.43</v>
      </c>
      <c r="T76" s="828"/>
      <c r="U76" s="843">
        <v>54765.599999999999</v>
      </c>
      <c r="V76" s="828"/>
      <c r="W76" s="828"/>
      <c r="X76" s="828"/>
      <c r="Y76" s="828"/>
    </row>
    <row r="77" spans="1:25" ht="24" customHeight="1" x14ac:dyDescent="0.25">
      <c r="A77" s="833" t="s">
        <v>293</v>
      </c>
      <c r="B77" s="828"/>
      <c r="C77" s="828"/>
      <c r="D77" s="828"/>
      <c r="E77" s="828"/>
      <c r="F77" s="828"/>
      <c r="G77" s="828"/>
      <c r="H77" s="828"/>
      <c r="I77" s="828"/>
      <c r="J77" s="828"/>
      <c r="K77" s="828"/>
      <c r="L77" s="828"/>
      <c r="M77" s="828"/>
      <c r="N77" s="828"/>
      <c r="O77" s="828"/>
      <c r="P77" s="828"/>
      <c r="Q77" s="828"/>
      <c r="R77" s="828"/>
      <c r="S77" s="828"/>
      <c r="T77" s="828"/>
      <c r="U77" s="828"/>
      <c r="V77" s="828"/>
      <c r="W77" s="828"/>
      <c r="X77" s="828"/>
      <c r="Y77" s="828"/>
    </row>
    <row r="78" spans="1:25" ht="12" customHeight="1" x14ac:dyDescent="0.25">
      <c r="A78" s="831" t="s">
        <v>307</v>
      </c>
      <c r="B78" s="828"/>
      <c r="C78" s="449" t="s">
        <v>293</v>
      </c>
      <c r="D78" s="449" t="s">
        <v>386</v>
      </c>
      <c r="E78" s="831" t="s">
        <v>387</v>
      </c>
      <c r="F78" s="828"/>
      <c r="G78" s="828"/>
      <c r="H78" s="831" t="s">
        <v>293</v>
      </c>
      <c r="I78" s="828"/>
      <c r="J78" s="828"/>
      <c r="K78" s="828"/>
      <c r="L78" s="828"/>
      <c r="M78" s="828"/>
      <c r="N78" s="828"/>
      <c r="O78" s="828"/>
      <c r="P78" s="828"/>
      <c r="Q78" s="828"/>
      <c r="R78" s="828"/>
      <c r="S78" s="828"/>
      <c r="T78" s="828"/>
      <c r="U78" s="843">
        <v>41454.43</v>
      </c>
      <c r="V78" s="828"/>
      <c r="W78" s="828"/>
      <c r="X78" s="828"/>
      <c r="Y78" s="828"/>
    </row>
    <row r="79" spans="1:25" x14ac:dyDescent="0.25">
      <c r="A79" s="450" t="s">
        <v>455</v>
      </c>
      <c r="B79" s="446" t="s">
        <v>325</v>
      </c>
      <c r="C79" s="450" t="s">
        <v>459</v>
      </c>
      <c r="D79" s="840" t="s">
        <v>488</v>
      </c>
      <c r="E79" s="828"/>
      <c r="F79" s="828"/>
      <c r="G79" s="446" t="s">
        <v>293</v>
      </c>
      <c r="H79" s="830" t="s">
        <v>293</v>
      </c>
      <c r="I79" s="828"/>
      <c r="J79" s="828"/>
      <c r="K79" s="446" t="s">
        <v>316</v>
      </c>
      <c r="L79" s="830" t="s">
        <v>317</v>
      </c>
      <c r="M79" s="828"/>
      <c r="N79" s="446" t="s">
        <v>318</v>
      </c>
      <c r="O79" s="446" t="s">
        <v>293</v>
      </c>
      <c r="P79" s="446" t="s">
        <v>293</v>
      </c>
      <c r="Q79" s="841">
        <v>0</v>
      </c>
      <c r="R79" s="828"/>
      <c r="S79" s="841">
        <v>-417.39</v>
      </c>
      <c r="T79" s="828"/>
      <c r="U79" s="842">
        <v>41037.040000000001</v>
      </c>
      <c r="V79" s="828"/>
      <c r="W79" s="828"/>
      <c r="X79" s="828"/>
      <c r="Y79" s="828"/>
    </row>
    <row r="80" spans="1:25" ht="18" x14ac:dyDescent="0.25">
      <c r="A80" s="450" t="s">
        <v>455</v>
      </c>
      <c r="B80" s="446" t="s">
        <v>325</v>
      </c>
      <c r="C80" s="450" t="s">
        <v>515</v>
      </c>
      <c r="D80" s="840" t="s">
        <v>516</v>
      </c>
      <c r="E80" s="828"/>
      <c r="F80" s="828"/>
      <c r="G80" s="446" t="s">
        <v>293</v>
      </c>
      <c r="H80" s="830" t="s">
        <v>293</v>
      </c>
      <c r="I80" s="828"/>
      <c r="J80" s="828"/>
      <c r="K80" s="446" t="s">
        <v>316</v>
      </c>
      <c r="L80" s="830" t="s">
        <v>317</v>
      </c>
      <c r="M80" s="828"/>
      <c r="N80" s="446" t="s">
        <v>318</v>
      </c>
      <c r="O80" s="446" t="s">
        <v>293</v>
      </c>
      <c r="P80" s="446" t="s">
        <v>293</v>
      </c>
      <c r="Q80" s="841">
        <v>2.35</v>
      </c>
      <c r="R80" s="828"/>
      <c r="S80" s="841">
        <v>15.65</v>
      </c>
      <c r="T80" s="828"/>
      <c r="U80" s="842">
        <v>41052.69</v>
      </c>
      <c r="V80" s="828"/>
      <c r="W80" s="828"/>
      <c r="X80" s="828"/>
      <c r="Y80" s="828"/>
    </row>
    <row r="81" spans="1:32" ht="18" x14ac:dyDescent="0.25">
      <c r="A81" s="450" t="s">
        <v>455</v>
      </c>
      <c r="B81" s="446" t="s">
        <v>325</v>
      </c>
      <c r="C81" s="450" t="s">
        <v>517</v>
      </c>
      <c r="D81" s="840" t="s">
        <v>516</v>
      </c>
      <c r="E81" s="828"/>
      <c r="F81" s="828"/>
      <c r="G81" s="446" t="s">
        <v>293</v>
      </c>
      <c r="H81" s="830" t="s">
        <v>293</v>
      </c>
      <c r="I81" s="828"/>
      <c r="J81" s="828"/>
      <c r="K81" s="446" t="s">
        <v>316</v>
      </c>
      <c r="L81" s="830" t="s">
        <v>317</v>
      </c>
      <c r="M81" s="828"/>
      <c r="N81" s="446" t="s">
        <v>318</v>
      </c>
      <c r="O81" s="446" t="s">
        <v>293</v>
      </c>
      <c r="P81" s="446" t="s">
        <v>293</v>
      </c>
      <c r="Q81" s="841">
        <v>2.09</v>
      </c>
      <c r="R81" s="828"/>
      <c r="S81" s="841">
        <v>13.91</v>
      </c>
      <c r="T81" s="828"/>
      <c r="U81" s="842">
        <v>41066.6</v>
      </c>
      <c r="V81" s="828"/>
      <c r="W81" s="828"/>
      <c r="X81" s="828"/>
      <c r="Y81" s="828"/>
      <c r="Z81" s="445"/>
      <c r="AA81" s="445"/>
      <c r="AB81" s="445"/>
      <c r="AC81" s="445"/>
      <c r="AD81" s="445"/>
      <c r="AE81" s="445"/>
      <c r="AF81" s="445"/>
    </row>
    <row r="82" spans="1:32" ht="18" x14ac:dyDescent="0.25">
      <c r="A82" s="450" t="s">
        <v>455</v>
      </c>
      <c r="B82" s="446" t="s">
        <v>325</v>
      </c>
      <c r="C82" s="450" t="s">
        <v>518</v>
      </c>
      <c r="D82" s="840" t="s">
        <v>519</v>
      </c>
      <c r="E82" s="828"/>
      <c r="F82" s="828"/>
      <c r="G82" s="446" t="s">
        <v>293</v>
      </c>
      <c r="H82" s="830" t="s">
        <v>293</v>
      </c>
      <c r="I82" s="828"/>
      <c r="J82" s="828"/>
      <c r="K82" s="446" t="s">
        <v>316</v>
      </c>
      <c r="L82" s="830" t="s">
        <v>317</v>
      </c>
      <c r="M82" s="828"/>
      <c r="N82" s="446" t="s">
        <v>318</v>
      </c>
      <c r="O82" s="446" t="s">
        <v>293</v>
      </c>
      <c r="P82" s="446" t="s">
        <v>293</v>
      </c>
      <c r="Q82" s="841">
        <v>1.96</v>
      </c>
      <c r="R82" s="828"/>
      <c r="S82" s="841">
        <v>13.04</v>
      </c>
      <c r="T82" s="828"/>
      <c r="U82" s="842">
        <v>41079.64</v>
      </c>
      <c r="V82" s="828"/>
      <c r="W82" s="828"/>
      <c r="X82" s="828"/>
      <c r="Y82" s="828"/>
      <c r="Z82" s="445"/>
      <c r="AA82" s="445"/>
      <c r="AB82" s="445"/>
      <c r="AC82" s="445"/>
      <c r="AD82" s="445"/>
      <c r="AE82" s="445"/>
      <c r="AF82" s="445"/>
    </row>
    <row r="83" spans="1:32" ht="18" x14ac:dyDescent="0.25">
      <c r="A83" s="450" t="s">
        <v>455</v>
      </c>
      <c r="B83" s="446" t="s">
        <v>311</v>
      </c>
      <c r="C83" s="450" t="s">
        <v>503</v>
      </c>
      <c r="D83" s="840" t="s">
        <v>520</v>
      </c>
      <c r="E83" s="828"/>
      <c r="F83" s="828"/>
      <c r="G83" s="446" t="s">
        <v>505</v>
      </c>
      <c r="H83" s="830" t="s">
        <v>506</v>
      </c>
      <c r="I83" s="828"/>
      <c r="J83" s="828"/>
      <c r="K83" s="446" t="s">
        <v>316</v>
      </c>
      <c r="L83" s="830" t="s">
        <v>317</v>
      </c>
      <c r="M83" s="828"/>
      <c r="N83" s="446" t="s">
        <v>318</v>
      </c>
      <c r="O83" s="446" t="s">
        <v>293</v>
      </c>
      <c r="P83" s="446" t="s">
        <v>293</v>
      </c>
      <c r="Q83" s="841">
        <v>62.61</v>
      </c>
      <c r="R83" s="828"/>
      <c r="S83" s="841">
        <v>417.39</v>
      </c>
      <c r="T83" s="828"/>
      <c r="U83" s="842">
        <v>41497.03</v>
      </c>
      <c r="V83" s="828"/>
      <c r="W83" s="828"/>
      <c r="X83" s="828"/>
      <c r="Y83" s="828"/>
      <c r="Z83" s="445"/>
      <c r="AA83" s="445"/>
      <c r="AB83" s="445"/>
      <c r="AC83" s="445"/>
      <c r="AD83" s="445"/>
      <c r="AE83" s="445"/>
      <c r="AF83" s="445"/>
    </row>
    <row r="84" spans="1:32" s="491" customFormat="1" ht="18" x14ac:dyDescent="0.25">
      <c r="A84" s="451" t="s">
        <v>455</v>
      </c>
      <c r="B84" s="452" t="s">
        <v>325</v>
      </c>
      <c r="C84" s="451" t="s">
        <v>521</v>
      </c>
      <c r="D84" s="844" t="s">
        <v>522</v>
      </c>
      <c r="E84" s="845"/>
      <c r="F84" s="845"/>
      <c r="G84" s="452" t="s">
        <v>293</v>
      </c>
      <c r="H84" s="846" t="s">
        <v>293</v>
      </c>
      <c r="I84" s="845"/>
      <c r="J84" s="845"/>
      <c r="K84" s="452" t="s">
        <v>316</v>
      </c>
      <c r="L84" s="846" t="s">
        <v>317</v>
      </c>
      <c r="M84" s="845"/>
      <c r="N84" s="452" t="s">
        <v>318</v>
      </c>
      <c r="O84" s="452" t="s">
        <v>293</v>
      </c>
      <c r="P84" s="452" t="s">
        <v>293</v>
      </c>
      <c r="Q84" s="847">
        <v>6.26</v>
      </c>
      <c r="R84" s="845"/>
      <c r="S84" s="847">
        <v>41.74</v>
      </c>
      <c r="T84" s="845"/>
      <c r="U84" s="848">
        <v>41538.769999999997</v>
      </c>
      <c r="V84" s="845"/>
      <c r="W84" s="845"/>
      <c r="X84" s="845"/>
      <c r="Y84" s="845"/>
      <c r="Z84" s="453"/>
      <c r="AA84" s="453"/>
      <c r="AB84" s="453" t="s">
        <v>523</v>
      </c>
      <c r="AC84" s="453"/>
      <c r="AD84" s="453"/>
      <c r="AE84" s="453"/>
      <c r="AF84" s="453"/>
    </row>
    <row r="85" spans="1:32" s="494" customFormat="1" ht="18" x14ac:dyDescent="0.25">
      <c r="A85" s="492" t="s">
        <v>455</v>
      </c>
      <c r="B85" s="493" t="s">
        <v>325</v>
      </c>
      <c r="C85" s="492" t="s">
        <v>524</v>
      </c>
      <c r="D85" s="849" t="s">
        <v>525</v>
      </c>
      <c r="E85" s="850"/>
      <c r="F85" s="850"/>
      <c r="G85" s="493" t="s">
        <v>293</v>
      </c>
      <c r="H85" s="851" t="s">
        <v>293</v>
      </c>
      <c r="I85" s="850"/>
      <c r="J85" s="850"/>
      <c r="K85" s="493" t="s">
        <v>316</v>
      </c>
      <c r="L85" s="851" t="s">
        <v>317</v>
      </c>
      <c r="M85" s="850"/>
      <c r="N85" s="493" t="s">
        <v>318</v>
      </c>
      <c r="O85" s="493" t="s">
        <v>293</v>
      </c>
      <c r="P85" s="493" t="s">
        <v>293</v>
      </c>
      <c r="Q85" s="852">
        <v>2.44</v>
      </c>
      <c r="R85" s="850"/>
      <c r="S85" s="852">
        <v>16.260000000000002</v>
      </c>
      <c r="T85" s="850"/>
      <c r="U85" s="853">
        <v>41555.03</v>
      </c>
      <c r="V85" s="850"/>
      <c r="W85" s="850"/>
      <c r="X85" s="850"/>
      <c r="Y85" s="850"/>
      <c r="AB85" s="494" t="s">
        <v>526</v>
      </c>
    </row>
    <row r="86" spans="1:32" s="491" customFormat="1" ht="18" x14ac:dyDescent="0.25">
      <c r="A86" s="451" t="s">
        <v>455</v>
      </c>
      <c r="B86" s="452" t="s">
        <v>325</v>
      </c>
      <c r="C86" s="451" t="s">
        <v>527</v>
      </c>
      <c r="D86" s="844" t="s">
        <v>528</v>
      </c>
      <c r="E86" s="845"/>
      <c r="F86" s="845"/>
      <c r="G86" s="452" t="s">
        <v>293</v>
      </c>
      <c r="H86" s="846" t="s">
        <v>293</v>
      </c>
      <c r="I86" s="845"/>
      <c r="J86" s="845"/>
      <c r="K86" s="452" t="s">
        <v>316</v>
      </c>
      <c r="L86" s="846" t="s">
        <v>317</v>
      </c>
      <c r="M86" s="845"/>
      <c r="N86" s="452" t="s">
        <v>318</v>
      </c>
      <c r="O86" s="452" t="s">
        <v>293</v>
      </c>
      <c r="P86" s="452" t="s">
        <v>293</v>
      </c>
      <c r="Q86" s="847">
        <v>1.24</v>
      </c>
      <c r="R86" s="845"/>
      <c r="S86" s="847">
        <v>8.26</v>
      </c>
      <c r="T86" s="845"/>
      <c r="U86" s="848">
        <v>41563.29</v>
      </c>
      <c r="V86" s="845"/>
      <c r="W86" s="845"/>
      <c r="X86" s="845"/>
      <c r="Y86" s="845"/>
      <c r="Z86" s="453"/>
      <c r="AA86" s="453"/>
      <c r="AB86" s="453" t="s">
        <v>529</v>
      </c>
      <c r="AC86" s="453"/>
      <c r="AD86" s="453"/>
      <c r="AE86" s="453"/>
      <c r="AF86" s="495" t="s">
        <v>473</v>
      </c>
    </row>
    <row r="87" spans="1:32" s="491" customFormat="1" ht="18" x14ac:dyDescent="0.25">
      <c r="A87" s="451" t="s">
        <v>455</v>
      </c>
      <c r="B87" s="452" t="s">
        <v>325</v>
      </c>
      <c r="C87" s="451" t="s">
        <v>530</v>
      </c>
      <c r="D87" s="844" t="s">
        <v>531</v>
      </c>
      <c r="E87" s="845"/>
      <c r="F87" s="845"/>
      <c r="G87" s="452" t="s">
        <v>293</v>
      </c>
      <c r="H87" s="846" t="s">
        <v>293</v>
      </c>
      <c r="I87" s="845"/>
      <c r="J87" s="845"/>
      <c r="K87" s="452" t="s">
        <v>316</v>
      </c>
      <c r="L87" s="846" t="s">
        <v>317</v>
      </c>
      <c r="M87" s="845"/>
      <c r="N87" s="452" t="s">
        <v>318</v>
      </c>
      <c r="O87" s="452" t="s">
        <v>293</v>
      </c>
      <c r="P87" s="452" t="s">
        <v>293</v>
      </c>
      <c r="Q87" s="847">
        <v>3.98</v>
      </c>
      <c r="R87" s="845"/>
      <c r="S87" s="847">
        <v>26.52</v>
      </c>
      <c r="T87" s="845"/>
      <c r="U87" s="848">
        <v>41589.81</v>
      </c>
      <c r="V87" s="845"/>
      <c r="W87" s="845"/>
      <c r="X87" s="845"/>
      <c r="Y87" s="845"/>
      <c r="Z87" s="453"/>
      <c r="AA87" s="453"/>
      <c r="AB87" s="453" t="s">
        <v>529</v>
      </c>
      <c r="AC87" s="453"/>
      <c r="AD87" s="453"/>
      <c r="AE87" s="453"/>
      <c r="AF87" s="495" t="s">
        <v>473</v>
      </c>
    </row>
    <row r="88" spans="1:32" s="491" customFormat="1" ht="18" x14ac:dyDescent="0.25">
      <c r="A88" s="451" t="s">
        <v>455</v>
      </c>
      <c r="B88" s="452" t="s">
        <v>325</v>
      </c>
      <c r="C88" s="451" t="s">
        <v>532</v>
      </c>
      <c r="D88" s="844" t="s">
        <v>533</v>
      </c>
      <c r="E88" s="845"/>
      <c r="F88" s="845"/>
      <c r="G88" s="452" t="s">
        <v>293</v>
      </c>
      <c r="H88" s="846" t="s">
        <v>293</v>
      </c>
      <c r="I88" s="845"/>
      <c r="J88" s="845"/>
      <c r="K88" s="452" t="s">
        <v>316</v>
      </c>
      <c r="L88" s="846" t="s">
        <v>317</v>
      </c>
      <c r="M88" s="845"/>
      <c r="N88" s="452" t="s">
        <v>318</v>
      </c>
      <c r="O88" s="452" t="s">
        <v>293</v>
      </c>
      <c r="P88" s="452" t="s">
        <v>293</v>
      </c>
      <c r="Q88" s="847">
        <v>1.3</v>
      </c>
      <c r="R88" s="845"/>
      <c r="S88" s="847">
        <v>8.6999999999999993</v>
      </c>
      <c r="T88" s="845"/>
      <c r="U88" s="848">
        <v>41598.51</v>
      </c>
      <c r="V88" s="845"/>
      <c r="W88" s="845"/>
      <c r="X88" s="845"/>
      <c r="Y88" s="845"/>
      <c r="Z88" s="453"/>
      <c r="AA88" s="453"/>
      <c r="AB88" s="453" t="s">
        <v>523</v>
      </c>
      <c r="AC88" s="453"/>
      <c r="AD88" s="453"/>
      <c r="AE88" s="453"/>
      <c r="AF88" s="453"/>
    </row>
    <row r="89" spans="1:32" s="491" customFormat="1" ht="18" x14ac:dyDescent="0.25">
      <c r="A89" s="451" t="s">
        <v>455</v>
      </c>
      <c r="B89" s="452" t="s">
        <v>325</v>
      </c>
      <c r="C89" s="451" t="s">
        <v>534</v>
      </c>
      <c r="D89" s="844" t="s">
        <v>535</v>
      </c>
      <c r="E89" s="845"/>
      <c r="F89" s="845"/>
      <c r="G89" s="452" t="s">
        <v>293</v>
      </c>
      <c r="H89" s="846" t="s">
        <v>293</v>
      </c>
      <c r="I89" s="845"/>
      <c r="J89" s="845"/>
      <c r="K89" s="452" t="s">
        <v>316</v>
      </c>
      <c r="L89" s="846" t="s">
        <v>317</v>
      </c>
      <c r="M89" s="845"/>
      <c r="N89" s="452" t="s">
        <v>318</v>
      </c>
      <c r="O89" s="452" t="s">
        <v>293</v>
      </c>
      <c r="P89" s="452" t="s">
        <v>293</v>
      </c>
      <c r="Q89" s="847">
        <v>5.23</v>
      </c>
      <c r="R89" s="845"/>
      <c r="S89" s="847">
        <v>34.869999999999997</v>
      </c>
      <c r="T89" s="845"/>
      <c r="U89" s="848">
        <v>41633.379999999997</v>
      </c>
      <c r="V89" s="845"/>
      <c r="W89" s="845"/>
      <c r="X89" s="845"/>
      <c r="Y89" s="845"/>
      <c r="Z89" s="453"/>
      <c r="AA89" s="453"/>
      <c r="AB89" s="453" t="s">
        <v>536</v>
      </c>
      <c r="AC89" s="453"/>
      <c r="AD89" s="453"/>
      <c r="AE89" s="453"/>
      <c r="AF89" s="495" t="s">
        <v>473</v>
      </c>
    </row>
    <row r="90" spans="1:32" s="491" customFormat="1" ht="18" x14ac:dyDescent="0.25">
      <c r="A90" s="451" t="s">
        <v>455</v>
      </c>
      <c r="B90" s="452" t="s">
        <v>325</v>
      </c>
      <c r="C90" s="451" t="s">
        <v>537</v>
      </c>
      <c r="D90" s="844" t="s">
        <v>538</v>
      </c>
      <c r="E90" s="845"/>
      <c r="F90" s="845"/>
      <c r="G90" s="452" t="s">
        <v>293</v>
      </c>
      <c r="H90" s="846" t="s">
        <v>293</v>
      </c>
      <c r="I90" s="845"/>
      <c r="J90" s="845"/>
      <c r="K90" s="452" t="s">
        <v>316</v>
      </c>
      <c r="L90" s="846" t="s">
        <v>317</v>
      </c>
      <c r="M90" s="845"/>
      <c r="N90" s="452" t="s">
        <v>318</v>
      </c>
      <c r="O90" s="452" t="s">
        <v>293</v>
      </c>
      <c r="P90" s="452" t="s">
        <v>293</v>
      </c>
      <c r="Q90" s="847">
        <v>1.1200000000000001</v>
      </c>
      <c r="R90" s="845"/>
      <c r="S90" s="847">
        <v>7.48</v>
      </c>
      <c r="T90" s="845"/>
      <c r="U90" s="848">
        <v>41640.86</v>
      </c>
      <c r="V90" s="845"/>
      <c r="W90" s="845"/>
      <c r="X90" s="845"/>
      <c r="Y90" s="845"/>
      <c r="Z90" s="453"/>
      <c r="AA90" s="453"/>
      <c r="AB90" s="453" t="s">
        <v>539</v>
      </c>
      <c r="AC90" s="453"/>
      <c r="AD90" s="453"/>
      <c r="AE90" s="453"/>
      <c r="AF90" s="453"/>
    </row>
    <row r="91" spans="1:32" s="491" customFormat="1" ht="18" x14ac:dyDescent="0.25">
      <c r="A91" s="451" t="s">
        <v>455</v>
      </c>
      <c r="B91" s="452" t="s">
        <v>325</v>
      </c>
      <c r="C91" s="451" t="s">
        <v>540</v>
      </c>
      <c r="D91" s="844" t="s">
        <v>541</v>
      </c>
      <c r="E91" s="845"/>
      <c r="F91" s="845"/>
      <c r="G91" s="452" t="s">
        <v>293</v>
      </c>
      <c r="H91" s="846" t="s">
        <v>293</v>
      </c>
      <c r="I91" s="845"/>
      <c r="J91" s="845"/>
      <c r="K91" s="452" t="s">
        <v>316</v>
      </c>
      <c r="L91" s="846" t="s">
        <v>317</v>
      </c>
      <c r="M91" s="845"/>
      <c r="N91" s="452" t="s">
        <v>318</v>
      </c>
      <c r="O91" s="452" t="s">
        <v>293</v>
      </c>
      <c r="P91" s="452" t="s">
        <v>293</v>
      </c>
      <c r="Q91" s="847">
        <v>7.76</v>
      </c>
      <c r="R91" s="845"/>
      <c r="S91" s="847">
        <v>51.74</v>
      </c>
      <c r="T91" s="845"/>
      <c r="U91" s="848">
        <v>41692.6</v>
      </c>
      <c r="V91" s="845"/>
      <c r="W91" s="845"/>
      <c r="X91" s="845"/>
      <c r="Y91" s="845"/>
      <c r="Z91" s="453"/>
      <c r="AA91" s="453"/>
      <c r="AB91" s="453" t="s">
        <v>539</v>
      </c>
      <c r="AC91" s="453"/>
      <c r="AD91" s="453"/>
      <c r="AE91" s="453"/>
      <c r="AF91" s="453"/>
    </row>
    <row r="92" spans="1:32" ht="18" x14ac:dyDescent="0.25">
      <c r="A92" s="450" t="s">
        <v>455</v>
      </c>
      <c r="B92" s="446" t="s">
        <v>325</v>
      </c>
      <c r="C92" s="450" t="s">
        <v>542</v>
      </c>
      <c r="D92" s="840" t="s">
        <v>543</v>
      </c>
      <c r="E92" s="828"/>
      <c r="F92" s="828"/>
      <c r="G92" s="446" t="s">
        <v>293</v>
      </c>
      <c r="H92" s="830" t="s">
        <v>293</v>
      </c>
      <c r="I92" s="828"/>
      <c r="J92" s="828"/>
      <c r="K92" s="446" t="s">
        <v>316</v>
      </c>
      <c r="L92" s="830" t="s">
        <v>317</v>
      </c>
      <c r="M92" s="828"/>
      <c r="N92" s="446" t="s">
        <v>318</v>
      </c>
      <c r="O92" s="446" t="s">
        <v>293</v>
      </c>
      <c r="P92" s="446" t="s">
        <v>293</v>
      </c>
      <c r="Q92" s="841">
        <v>2.2999999999999998</v>
      </c>
      <c r="R92" s="828"/>
      <c r="S92" s="841">
        <v>15.3</v>
      </c>
      <c r="T92" s="828"/>
      <c r="U92" s="842">
        <v>41707.9</v>
      </c>
      <c r="V92" s="828"/>
      <c r="W92" s="828"/>
      <c r="X92" s="828"/>
      <c r="Y92" s="828"/>
      <c r="Z92" s="445"/>
      <c r="AA92" s="445"/>
      <c r="AB92" s="445"/>
      <c r="AC92" s="445"/>
      <c r="AD92" s="445"/>
      <c r="AE92" s="445"/>
      <c r="AF92" s="445"/>
    </row>
    <row r="93" spans="1:32" ht="18" x14ac:dyDescent="0.25">
      <c r="A93" s="450" t="s">
        <v>455</v>
      </c>
      <c r="B93" s="446" t="s">
        <v>325</v>
      </c>
      <c r="C93" s="450" t="s">
        <v>544</v>
      </c>
      <c r="D93" s="840" t="s">
        <v>545</v>
      </c>
      <c r="E93" s="828"/>
      <c r="F93" s="828"/>
      <c r="G93" s="446" t="s">
        <v>293</v>
      </c>
      <c r="H93" s="830" t="s">
        <v>293</v>
      </c>
      <c r="I93" s="828"/>
      <c r="J93" s="828"/>
      <c r="K93" s="446" t="s">
        <v>316</v>
      </c>
      <c r="L93" s="830" t="s">
        <v>317</v>
      </c>
      <c r="M93" s="828"/>
      <c r="N93" s="446" t="s">
        <v>318</v>
      </c>
      <c r="O93" s="446" t="s">
        <v>293</v>
      </c>
      <c r="P93" s="446" t="s">
        <v>293</v>
      </c>
      <c r="Q93" s="841">
        <v>5.09</v>
      </c>
      <c r="R93" s="828"/>
      <c r="S93" s="841">
        <v>33.909999999999997</v>
      </c>
      <c r="T93" s="828"/>
      <c r="U93" s="842">
        <v>41741.81</v>
      </c>
      <c r="V93" s="828"/>
      <c r="W93" s="828"/>
      <c r="X93" s="828"/>
      <c r="Y93" s="828"/>
      <c r="Z93" s="445"/>
      <c r="AA93" s="445"/>
      <c r="AB93" s="445"/>
      <c r="AC93" s="445"/>
      <c r="AD93" s="445"/>
      <c r="AE93" s="445"/>
      <c r="AF93" s="445"/>
    </row>
    <row r="94" spans="1:32" ht="18" x14ac:dyDescent="0.25">
      <c r="A94" s="450" t="s">
        <v>455</v>
      </c>
      <c r="B94" s="446" t="s">
        <v>325</v>
      </c>
      <c r="C94" s="450" t="s">
        <v>546</v>
      </c>
      <c r="D94" s="840" t="s">
        <v>543</v>
      </c>
      <c r="E94" s="828"/>
      <c r="F94" s="828"/>
      <c r="G94" s="446" t="s">
        <v>293</v>
      </c>
      <c r="H94" s="830" t="s">
        <v>293</v>
      </c>
      <c r="I94" s="828"/>
      <c r="J94" s="828"/>
      <c r="K94" s="446" t="s">
        <v>316</v>
      </c>
      <c r="L94" s="830" t="s">
        <v>317</v>
      </c>
      <c r="M94" s="828"/>
      <c r="N94" s="446" t="s">
        <v>318</v>
      </c>
      <c r="O94" s="446" t="s">
        <v>293</v>
      </c>
      <c r="P94" s="446" t="s">
        <v>293</v>
      </c>
      <c r="Q94" s="841">
        <v>2.93</v>
      </c>
      <c r="R94" s="828"/>
      <c r="S94" s="841">
        <v>19.57</v>
      </c>
      <c r="T94" s="828"/>
      <c r="U94" s="842">
        <v>41761.379999999997</v>
      </c>
      <c r="V94" s="828"/>
      <c r="W94" s="828"/>
      <c r="X94" s="828"/>
      <c r="Y94" s="828"/>
      <c r="Z94" s="445"/>
      <c r="AA94" s="445"/>
      <c r="AB94" s="445"/>
      <c r="AC94" s="445"/>
      <c r="AD94" s="445"/>
      <c r="AE94" s="445"/>
      <c r="AF94" s="445"/>
    </row>
    <row r="95" spans="1:32" ht="18" x14ac:dyDescent="0.25">
      <c r="A95" s="450" t="s">
        <v>455</v>
      </c>
      <c r="B95" s="446" t="s">
        <v>325</v>
      </c>
      <c r="C95" s="450" t="s">
        <v>547</v>
      </c>
      <c r="D95" s="840" t="s">
        <v>543</v>
      </c>
      <c r="E95" s="828"/>
      <c r="F95" s="828"/>
      <c r="G95" s="446" t="s">
        <v>293</v>
      </c>
      <c r="H95" s="830" t="s">
        <v>293</v>
      </c>
      <c r="I95" s="828"/>
      <c r="J95" s="828"/>
      <c r="K95" s="446" t="s">
        <v>316</v>
      </c>
      <c r="L95" s="830" t="s">
        <v>317</v>
      </c>
      <c r="M95" s="828"/>
      <c r="N95" s="446" t="s">
        <v>318</v>
      </c>
      <c r="O95" s="446" t="s">
        <v>293</v>
      </c>
      <c r="P95" s="446" t="s">
        <v>293</v>
      </c>
      <c r="Q95" s="841">
        <v>1.54</v>
      </c>
      <c r="R95" s="828"/>
      <c r="S95" s="841">
        <v>10.26</v>
      </c>
      <c r="T95" s="828"/>
      <c r="U95" s="842">
        <v>41771.64</v>
      </c>
      <c r="V95" s="828"/>
      <c r="W95" s="828"/>
      <c r="X95" s="828"/>
      <c r="Y95" s="828"/>
      <c r="Z95" s="445"/>
      <c r="AA95" s="445"/>
      <c r="AB95" s="445"/>
      <c r="AC95" s="445"/>
      <c r="AD95" s="445"/>
      <c r="AE95" s="445"/>
      <c r="AF95" s="445"/>
    </row>
    <row r="96" spans="1:32" x14ac:dyDescent="0.25">
      <c r="A96" s="450" t="s">
        <v>489</v>
      </c>
      <c r="B96" s="446" t="s">
        <v>325</v>
      </c>
      <c r="C96" s="450" t="s">
        <v>490</v>
      </c>
      <c r="D96" s="840" t="s">
        <v>508</v>
      </c>
      <c r="E96" s="828"/>
      <c r="F96" s="828"/>
      <c r="G96" s="446" t="s">
        <v>293</v>
      </c>
      <c r="H96" s="830" t="s">
        <v>293</v>
      </c>
      <c r="I96" s="828"/>
      <c r="J96" s="828"/>
      <c r="K96" s="446" t="s">
        <v>316</v>
      </c>
      <c r="L96" s="830" t="s">
        <v>411</v>
      </c>
      <c r="M96" s="828"/>
      <c r="N96" s="446" t="s">
        <v>318</v>
      </c>
      <c r="O96" s="446" t="s">
        <v>293</v>
      </c>
      <c r="P96" s="446" t="s">
        <v>293</v>
      </c>
      <c r="Q96" s="841">
        <v>0</v>
      </c>
      <c r="R96" s="828"/>
      <c r="S96" s="841">
        <v>7.5</v>
      </c>
      <c r="T96" s="828"/>
      <c r="U96" s="842">
        <v>41779.14</v>
      </c>
      <c r="V96" s="828"/>
      <c r="W96" s="828"/>
      <c r="X96" s="828"/>
      <c r="Y96" s="828"/>
      <c r="Z96" s="445"/>
      <c r="AA96" s="445"/>
      <c r="AB96" s="445"/>
      <c r="AC96" s="445"/>
      <c r="AD96" s="445"/>
      <c r="AE96" s="445"/>
      <c r="AF96" s="445"/>
    </row>
    <row r="97" spans="1:32" x14ac:dyDescent="0.25">
      <c r="A97" s="450" t="s">
        <v>489</v>
      </c>
      <c r="B97" s="446" t="s">
        <v>325</v>
      </c>
      <c r="C97" s="450" t="s">
        <v>490</v>
      </c>
      <c r="D97" s="840" t="s">
        <v>491</v>
      </c>
      <c r="E97" s="828"/>
      <c r="F97" s="828"/>
      <c r="G97" s="446" t="s">
        <v>293</v>
      </c>
      <c r="H97" s="830" t="s">
        <v>293</v>
      </c>
      <c r="I97" s="828"/>
      <c r="J97" s="828"/>
      <c r="K97" s="446" t="s">
        <v>316</v>
      </c>
      <c r="L97" s="830" t="s">
        <v>411</v>
      </c>
      <c r="M97" s="828"/>
      <c r="N97" s="446" t="s">
        <v>318</v>
      </c>
      <c r="O97" s="446" t="s">
        <v>293</v>
      </c>
      <c r="P97" s="446" t="s">
        <v>293</v>
      </c>
      <c r="Q97" s="841">
        <v>0</v>
      </c>
      <c r="R97" s="828"/>
      <c r="S97" s="841">
        <v>354.46</v>
      </c>
      <c r="T97" s="828"/>
      <c r="U97" s="842">
        <v>42133.599999999999</v>
      </c>
      <c r="V97" s="828"/>
      <c r="W97" s="828"/>
      <c r="X97" s="828"/>
      <c r="Y97" s="828"/>
      <c r="Z97" s="445"/>
      <c r="AA97" s="445"/>
      <c r="AB97" s="445"/>
      <c r="AC97" s="445"/>
      <c r="AD97" s="445"/>
      <c r="AE97" s="445"/>
      <c r="AF97" s="445"/>
    </row>
    <row r="98" spans="1:32" x14ac:dyDescent="0.25">
      <c r="A98" s="450" t="s">
        <v>489</v>
      </c>
      <c r="B98" s="446" t="s">
        <v>325</v>
      </c>
      <c r="C98" s="450" t="s">
        <v>490</v>
      </c>
      <c r="D98" s="840" t="s">
        <v>492</v>
      </c>
      <c r="E98" s="828"/>
      <c r="F98" s="828"/>
      <c r="G98" s="446" t="s">
        <v>293</v>
      </c>
      <c r="H98" s="830" t="s">
        <v>293</v>
      </c>
      <c r="I98" s="828"/>
      <c r="J98" s="828"/>
      <c r="K98" s="446" t="s">
        <v>316</v>
      </c>
      <c r="L98" s="830" t="s">
        <v>493</v>
      </c>
      <c r="M98" s="828"/>
      <c r="N98" s="446" t="s">
        <v>318</v>
      </c>
      <c r="O98" s="446" t="s">
        <v>293</v>
      </c>
      <c r="P98" s="446" t="s">
        <v>293</v>
      </c>
      <c r="Q98" s="841">
        <v>0</v>
      </c>
      <c r="R98" s="828"/>
      <c r="S98" s="841">
        <v>7.5</v>
      </c>
      <c r="T98" s="828"/>
      <c r="U98" s="842">
        <v>42141.1</v>
      </c>
      <c r="V98" s="828"/>
      <c r="W98" s="828"/>
      <c r="X98" s="828"/>
      <c r="Y98" s="828"/>
      <c r="Z98" s="445"/>
      <c r="AA98" s="445"/>
      <c r="AB98" s="445"/>
      <c r="AC98" s="445"/>
      <c r="AD98" s="445"/>
      <c r="AE98" s="445"/>
      <c r="AF98" s="445"/>
    </row>
    <row r="99" spans="1:32" x14ac:dyDescent="0.25">
      <c r="A99" s="450" t="s">
        <v>494</v>
      </c>
      <c r="B99" s="446" t="s">
        <v>325</v>
      </c>
      <c r="C99" s="450" t="s">
        <v>495</v>
      </c>
      <c r="D99" s="840" t="s">
        <v>508</v>
      </c>
      <c r="E99" s="828"/>
      <c r="F99" s="828"/>
      <c r="G99" s="446" t="s">
        <v>293</v>
      </c>
      <c r="H99" s="830" t="s">
        <v>293</v>
      </c>
      <c r="I99" s="828"/>
      <c r="J99" s="828"/>
      <c r="K99" s="446" t="s">
        <v>316</v>
      </c>
      <c r="L99" s="830" t="s">
        <v>411</v>
      </c>
      <c r="M99" s="828"/>
      <c r="N99" s="446" t="s">
        <v>318</v>
      </c>
      <c r="O99" s="446" t="s">
        <v>293</v>
      </c>
      <c r="P99" s="446" t="s">
        <v>293</v>
      </c>
      <c r="Q99" s="841">
        <v>0</v>
      </c>
      <c r="R99" s="828"/>
      <c r="S99" s="841">
        <v>-7.5</v>
      </c>
      <c r="T99" s="828"/>
      <c r="U99" s="842">
        <v>42133.599999999999</v>
      </c>
      <c r="V99" s="828"/>
      <c r="W99" s="828"/>
      <c r="X99" s="828"/>
      <c r="Y99" s="828"/>
      <c r="Z99" s="445"/>
      <c r="AA99" s="445"/>
      <c r="AB99" s="445"/>
      <c r="AC99" s="445"/>
      <c r="AD99" s="445"/>
      <c r="AE99" s="445"/>
      <c r="AF99" s="445"/>
    </row>
    <row r="100" spans="1:32" x14ac:dyDescent="0.25">
      <c r="A100" s="450" t="s">
        <v>494</v>
      </c>
      <c r="B100" s="446" t="s">
        <v>325</v>
      </c>
      <c r="C100" s="450" t="s">
        <v>495</v>
      </c>
      <c r="D100" s="840" t="s">
        <v>491</v>
      </c>
      <c r="E100" s="828"/>
      <c r="F100" s="828"/>
      <c r="G100" s="446" t="s">
        <v>293</v>
      </c>
      <c r="H100" s="830" t="s">
        <v>293</v>
      </c>
      <c r="I100" s="828"/>
      <c r="J100" s="828"/>
      <c r="K100" s="446" t="s">
        <v>316</v>
      </c>
      <c r="L100" s="830" t="s">
        <v>411</v>
      </c>
      <c r="M100" s="828"/>
      <c r="N100" s="446" t="s">
        <v>318</v>
      </c>
      <c r="O100" s="446" t="s">
        <v>293</v>
      </c>
      <c r="P100" s="446" t="s">
        <v>293</v>
      </c>
      <c r="Q100" s="841">
        <v>0</v>
      </c>
      <c r="R100" s="828"/>
      <c r="S100" s="841">
        <v>-354.46</v>
      </c>
      <c r="T100" s="828"/>
      <c r="U100" s="842">
        <v>41779.14</v>
      </c>
      <c r="V100" s="828"/>
      <c r="W100" s="828"/>
      <c r="X100" s="828"/>
      <c r="Y100" s="828"/>
      <c r="Z100" s="445"/>
      <c r="AA100" s="445"/>
      <c r="AB100" s="445"/>
      <c r="AC100" s="445"/>
      <c r="AD100" s="445"/>
      <c r="AE100" s="445"/>
      <c r="AF100" s="445"/>
    </row>
    <row r="101" spans="1:32" x14ac:dyDescent="0.25">
      <c r="A101" s="450" t="s">
        <v>494</v>
      </c>
      <c r="B101" s="446" t="s">
        <v>325</v>
      </c>
      <c r="C101" s="450" t="s">
        <v>495</v>
      </c>
      <c r="D101" s="840" t="s">
        <v>492</v>
      </c>
      <c r="E101" s="828"/>
      <c r="F101" s="828"/>
      <c r="G101" s="446" t="s">
        <v>293</v>
      </c>
      <c r="H101" s="830" t="s">
        <v>293</v>
      </c>
      <c r="I101" s="828"/>
      <c r="J101" s="828"/>
      <c r="K101" s="446" t="s">
        <v>316</v>
      </c>
      <c r="L101" s="830" t="s">
        <v>493</v>
      </c>
      <c r="M101" s="828"/>
      <c r="N101" s="446" t="s">
        <v>318</v>
      </c>
      <c r="O101" s="446" t="s">
        <v>293</v>
      </c>
      <c r="P101" s="446" t="s">
        <v>293</v>
      </c>
      <c r="Q101" s="841">
        <v>0</v>
      </c>
      <c r="R101" s="828"/>
      <c r="S101" s="841">
        <v>-7.5</v>
      </c>
      <c r="T101" s="828"/>
      <c r="U101" s="842">
        <v>41771.64</v>
      </c>
      <c r="V101" s="828"/>
      <c r="W101" s="828"/>
      <c r="X101" s="828"/>
      <c r="Y101" s="828"/>
      <c r="Z101" s="445"/>
      <c r="AA101" s="445"/>
      <c r="AB101" s="445"/>
      <c r="AC101" s="445"/>
      <c r="AD101" s="445"/>
      <c r="AE101" s="445"/>
      <c r="AF101" s="445"/>
    </row>
    <row r="102" spans="1:32" ht="18" x14ac:dyDescent="0.25">
      <c r="A102" s="450" t="s">
        <v>494</v>
      </c>
      <c r="B102" s="446" t="s">
        <v>311</v>
      </c>
      <c r="C102" s="450" t="s">
        <v>509</v>
      </c>
      <c r="D102" s="840" t="s">
        <v>548</v>
      </c>
      <c r="E102" s="828"/>
      <c r="F102" s="828"/>
      <c r="G102" s="446" t="s">
        <v>505</v>
      </c>
      <c r="H102" s="830" t="s">
        <v>511</v>
      </c>
      <c r="I102" s="828"/>
      <c r="J102" s="828"/>
      <c r="K102" s="446" t="s">
        <v>316</v>
      </c>
      <c r="L102" s="830" t="s">
        <v>317</v>
      </c>
      <c r="M102" s="828"/>
      <c r="N102" s="446" t="s">
        <v>318</v>
      </c>
      <c r="O102" s="446" t="s">
        <v>293</v>
      </c>
      <c r="P102" s="446" t="s">
        <v>293</v>
      </c>
      <c r="Q102" s="841">
        <v>2.73</v>
      </c>
      <c r="R102" s="828"/>
      <c r="S102" s="841">
        <v>18.260000000000002</v>
      </c>
      <c r="T102" s="828"/>
      <c r="U102" s="842">
        <v>41789.9</v>
      </c>
      <c r="V102" s="828"/>
      <c r="W102" s="828"/>
      <c r="X102" s="828"/>
      <c r="Y102" s="828"/>
      <c r="Z102" s="445"/>
      <c r="AA102" s="445"/>
      <c r="AB102" s="445"/>
      <c r="AC102" s="445"/>
      <c r="AD102" s="445"/>
      <c r="AE102" s="445"/>
      <c r="AF102" s="445"/>
    </row>
    <row r="103" spans="1:32" ht="18" x14ac:dyDescent="0.25">
      <c r="A103" s="450" t="s">
        <v>494</v>
      </c>
      <c r="B103" s="446" t="s">
        <v>311</v>
      </c>
      <c r="C103" s="450" t="s">
        <v>509</v>
      </c>
      <c r="D103" s="840" t="s">
        <v>548</v>
      </c>
      <c r="E103" s="828"/>
      <c r="F103" s="828"/>
      <c r="G103" s="446" t="s">
        <v>505</v>
      </c>
      <c r="H103" s="830" t="s">
        <v>511</v>
      </c>
      <c r="I103" s="828"/>
      <c r="J103" s="828"/>
      <c r="K103" s="446" t="s">
        <v>316</v>
      </c>
      <c r="L103" s="830" t="s">
        <v>317</v>
      </c>
      <c r="M103" s="828"/>
      <c r="N103" s="446" t="s">
        <v>318</v>
      </c>
      <c r="O103" s="446" t="s">
        <v>293</v>
      </c>
      <c r="P103" s="446" t="s">
        <v>293</v>
      </c>
      <c r="Q103" s="841">
        <v>49.31</v>
      </c>
      <c r="R103" s="828"/>
      <c r="S103" s="841">
        <v>328.7</v>
      </c>
      <c r="T103" s="828"/>
      <c r="U103" s="842">
        <v>42118.6</v>
      </c>
      <c r="V103" s="828"/>
      <c r="W103" s="828"/>
      <c r="X103" s="828"/>
      <c r="Y103" s="828"/>
      <c r="Z103" s="445"/>
      <c r="AA103" s="445"/>
      <c r="AB103" s="445"/>
      <c r="AC103" s="445"/>
      <c r="AD103" s="445"/>
      <c r="AE103" s="445"/>
      <c r="AF103" s="445"/>
    </row>
    <row r="104" spans="1:32" ht="18" x14ac:dyDescent="0.25">
      <c r="A104" s="450" t="s">
        <v>549</v>
      </c>
      <c r="B104" s="446" t="s">
        <v>325</v>
      </c>
      <c r="C104" s="450" t="s">
        <v>550</v>
      </c>
      <c r="D104" s="840" t="s">
        <v>551</v>
      </c>
      <c r="E104" s="828"/>
      <c r="F104" s="828"/>
      <c r="G104" s="446" t="s">
        <v>293</v>
      </c>
      <c r="H104" s="830" t="s">
        <v>293</v>
      </c>
      <c r="I104" s="828"/>
      <c r="J104" s="828"/>
      <c r="K104" s="446" t="s">
        <v>316</v>
      </c>
      <c r="L104" s="830" t="s">
        <v>317</v>
      </c>
      <c r="M104" s="828"/>
      <c r="N104" s="446" t="s">
        <v>318</v>
      </c>
      <c r="O104" s="446" t="s">
        <v>293</v>
      </c>
      <c r="P104" s="446" t="s">
        <v>293</v>
      </c>
      <c r="Q104" s="841">
        <v>1.98</v>
      </c>
      <c r="R104" s="828"/>
      <c r="S104" s="841">
        <v>13.22</v>
      </c>
      <c r="T104" s="828"/>
      <c r="U104" s="842">
        <v>42131.82</v>
      </c>
      <c r="V104" s="828"/>
      <c r="W104" s="828"/>
      <c r="X104" s="828"/>
      <c r="Y104" s="828"/>
      <c r="Z104" s="445"/>
      <c r="AA104" s="445"/>
      <c r="AB104" s="445"/>
      <c r="AC104" s="445"/>
      <c r="AD104" s="445"/>
      <c r="AE104" s="445"/>
      <c r="AF104" s="445"/>
    </row>
    <row r="105" spans="1:32" ht="18" x14ac:dyDescent="0.25">
      <c r="A105" s="450" t="s">
        <v>549</v>
      </c>
      <c r="B105" s="446" t="s">
        <v>325</v>
      </c>
      <c r="C105" s="450" t="s">
        <v>552</v>
      </c>
      <c r="D105" s="840" t="s">
        <v>516</v>
      </c>
      <c r="E105" s="828"/>
      <c r="F105" s="828"/>
      <c r="G105" s="446" t="s">
        <v>293</v>
      </c>
      <c r="H105" s="830" t="s">
        <v>293</v>
      </c>
      <c r="I105" s="828"/>
      <c r="J105" s="828"/>
      <c r="K105" s="446" t="s">
        <v>316</v>
      </c>
      <c r="L105" s="830" t="s">
        <v>317</v>
      </c>
      <c r="M105" s="828"/>
      <c r="N105" s="446" t="s">
        <v>318</v>
      </c>
      <c r="O105" s="446" t="s">
        <v>293</v>
      </c>
      <c r="P105" s="446" t="s">
        <v>293</v>
      </c>
      <c r="Q105" s="841">
        <v>2.48</v>
      </c>
      <c r="R105" s="828"/>
      <c r="S105" s="841">
        <v>16.52</v>
      </c>
      <c r="T105" s="828"/>
      <c r="U105" s="842">
        <v>42148.34</v>
      </c>
      <c r="V105" s="828"/>
      <c r="W105" s="828"/>
      <c r="X105" s="828"/>
      <c r="Y105" s="828"/>
      <c r="Z105" s="445"/>
      <c r="AA105" s="445"/>
      <c r="AB105" s="445"/>
      <c r="AC105" s="445"/>
      <c r="AD105" s="445"/>
      <c r="AE105" s="445"/>
      <c r="AF105" s="445"/>
    </row>
    <row r="106" spans="1:32" ht="18" x14ac:dyDescent="0.25">
      <c r="A106" s="450" t="s">
        <v>553</v>
      </c>
      <c r="B106" s="446" t="s">
        <v>325</v>
      </c>
      <c r="C106" s="450" t="s">
        <v>554</v>
      </c>
      <c r="D106" s="840" t="s">
        <v>551</v>
      </c>
      <c r="E106" s="828"/>
      <c r="F106" s="828"/>
      <c r="G106" s="446" t="s">
        <v>293</v>
      </c>
      <c r="H106" s="830" t="s">
        <v>293</v>
      </c>
      <c r="I106" s="828"/>
      <c r="J106" s="828"/>
      <c r="K106" s="446" t="s">
        <v>316</v>
      </c>
      <c r="L106" s="830" t="s">
        <v>317</v>
      </c>
      <c r="M106" s="828"/>
      <c r="N106" s="446" t="s">
        <v>318</v>
      </c>
      <c r="O106" s="446" t="s">
        <v>293</v>
      </c>
      <c r="P106" s="446" t="s">
        <v>293</v>
      </c>
      <c r="Q106" s="841">
        <v>1.87</v>
      </c>
      <c r="R106" s="828"/>
      <c r="S106" s="841">
        <v>12.43</v>
      </c>
      <c r="T106" s="828"/>
      <c r="U106" s="842">
        <v>42160.77</v>
      </c>
      <c r="V106" s="828"/>
      <c r="W106" s="828"/>
      <c r="X106" s="828"/>
      <c r="Y106" s="828"/>
      <c r="Z106" s="445"/>
      <c r="AA106" s="445"/>
      <c r="AB106" s="445"/>
      <c r="AC106" s="445"/>
      <c r="AD106" s="445"/>
      <c r="AE106" s="445"/>
      <c r="AF106" s="445"/>
    </row>
    <row r="107" spans="1:32" x14ac:dyDescent="0.25">
      <c r="A107" s="450" t="s">
        <v>496</v>
      </c>
      <c r="B107" s="446" t="s">
        <v>325</v>
      </c>
      <c r="C107" s="450" t="s">
        <v>497</v>
      </c>
      <c r="D107" s="840" t="s">
        <v>499</v>
      </c>
      <c r="E107" s="828"/>
      <c r="F107" s="828"/>
      <c r="G107" s="446" t="s">
        <v>293</v>
      </c>
      <c r="H107" s="830" t="s">
        <v>293</v>
      </c>
      <c r="I107" s="828"/>
      <c r="J107" s="828"/>
      <c r="K107" s="446" t="s">
        <v>316</v>
      </c>
      <c r="L107" s="830" t="s">
        <v>317</v>
      </c>
      <c r="M107" s="828"/>
      <c r="N107" s="446" t="s">
        <v>318</v>
      </c>
      <c r="O107" s="446" t="s">
        <v>293</v>
      </c>
      <c r="P107" s="446" t="s">
        <v>293</v>
      </c>
      <c r="Q107" s="841">
        <v>0</v>
      </c>
      <c r="R107" s="828"/>
      <c r="S107" s="841">
        <v>672.52</v>
      </c>
      <c r="T107" s="828"/>
      <c r="U107" s="842">
        <v>42833.29</v>
      </c>
      <c r="V107" s="828"/>
      <c r="W107" s="828"/>
      <c r="X107" s="828"/>
      <c r="Y107" s="828"/>
      <c r="Z107" s="445"/>
      <c r="AA107" s="445"/>
      <c r="AB107" s="445"/>
      <c r="AC107" s="445"/>
      <c r="AD107" s="445"/>
      <c r="AE107" s="445"/>
      <c r="AF107" s="445"/>
    </row>
    <row r="108" spans="1:32" x14ac:dyDescent="0.25">
      <c r="A108" s="450" t="s">
        <v>467</v>
      </c>
      <c r="B108" s="446" t="s">
        <v>325</v>
      </c>
      <c r="C108" s="450" t="s">
        <v>500</v>
      </c>
      <c r="D108" s="840" t="s">
        <v>499</v>
      </c>
      <c r="E108" s="828"/>
      <c r="F108" s="828"/>
      <c r="G108" s="446" t="s">
        <v>293</v>
      </c>
      <c r="H108" s="830" t="s">
        <v>293</v>
      </c>
      <c r="I108" s="828"/>
      <c r="J108" s="828"/>
      <c r="K108" s="446" t="s">
        <v>316</v>
      </c>
      <c r="L108" s="830" t="s">
        <v>317</v>
      </c>
      <c r="M108" s="828"/>
      <c r="N108" s="446" t="s">
        <v>318</v>
      </c>
      <c r="O108" s="446" t="s">
        <v>293</v>
      </c>
      <c r="P108" s="446" t="s">
        <v>293</v>
      </c>
      <c r="Q108" s="841">
        <v>0</v>
      </c>
      <c r="R108" s="828"/>
      <c r="S108" s="841">
        <v>-672.52</v>
      </c>
      <c r="T108" s="828"/>
      <c r="U108" s="842">
        <v>42160.77</v>
      </c>
      <c r="V108" s="828"/>
      <c r="W108" s="828"/>
      <c r="X108" s="828"/>
      <c r="Y108" s="828"/>
      <c r="Z108" s="445"/>
      <c r="AA108" s="445"/>
      <c r="AB108" s="445"/>
      <c r="AC108" s="445"/>
      <c r="AD108" s="445"/>
      <c r="AE108" s="445"/>
      <c r="AF108" s="445"/>
    </row>
    <row r="109" spans="1:32" s="491" customFormat="1" ht="18" x14ac:dyDescent="0.25">
      <c r="A109" s="451" t="s">
        <v>467</v>
      </c>
      <c r="B109" s="452" t="s">
        <v>325</v>
      </c>
      <c r="C109" s="451" t="s">
        <v>555</v>
      </c>
      <c r="D109" s="844" t="s">
        <v>556</v>
      </c>
      <c r="E109" s="845"/>
      <c r="F109" s="845"/>
      <c r="G109" s="452" t="s">
        <v>293</v>
      </c>
      <c r="H109" s="846" t="s">
        <v>293</v>
      </c>
      <c r="I109" s="845"/>
      <c r="J109" s="845"/>
      <c r="K109" s="452" t="s">
        <v>316</v>
      </c>
      <c r="L109" s="846" t="s">
        <v>317</v>
      </c>
      <c r="M109" s="845"/>
      <c r="N109" s="452" t="s">
        <v>318</v>
      </c>
      <c r="O109" s="452" t="s">
        <v>293</v>
      </c>
      <c r="P109" s="452" t="s">
        <v>293</v>
      </c>
      <c r="Q109" s="847">
        <v>3.44</v>
      </c>
      <c r="R109" s="845"/>
      <c r="S109" s="847">
        <v>22.96</v>
      </c>
      <c r="T109" s="845"/>
      <c r="U109" s="848">
        <v>42183.73</v>
      </c>
      <c r="V109" s="845"/>
      <c r="W109" s="845"/>
      <c r="X109" s="845"/>
      <c r="Y109" s="845"/>
      <c r="Z109" s="453"/>
      <c r="AA109" s="453"/>
      <c r="AB109" s="453" t="s">
        <v>557</v>
      </c>
      <c r="AC109" s="453"/>
      <c r="AD109" s="453"/>
      <c r="AE109" s="453"/>
      <c r="AF109" s="453"/>
    </row>
    <row r="110" spans="1:32" s="491" customFormat="1" ht="18" x14ac:dyDescent="0.25">
      <c r="A110" s="451" t="s">
        <v>467</v>
      </c>
      <c r="B110" s="452" t="s">
        <v>325</v>
      </c>
      <c r="C110" s="451" t="s">
        <v>558</v>
      </c>
      <c r="D110" s="844" t="s">
        <v>559</v>
      </c>
      <c r="E110" s="845"/>
      <c r="F110" s="845"/>
      <c r="G110" s="452" t="s">
        <v>293</v>
      </c>
      <c r="H110" s="846" t="s">
        <v>293</v>
      </c>
      <c r="I110" s="845"/>
      <c r="J110" s="845"/>
      <c r="K110" s="452" t="s">
        <v>316</v>
      </c>
      <c r="L110" s="846" t="s">
        <v>317</v>
      </c>
      <c r="M110" s="845"/>
      <c r="N110" s="452" t="s">
        <v>318</v>
      </c>
      <c r="O110" s="452" t="s">
        <v>293</v>
      </c>
      <c r="P110" s="452" t="s">
        <v>293</v>
      </c>
      <c r="Q110" s="847">
        <v>1.1499999999999999</v>
      </c>
      <c r="R110" s="845"/>
      <c r="S110" s="847">
        <v>7.65</v>
      </c>
      <c r="T110" s="845"/>
      <c r="U110" s="848">
        <v>42191.38</v>
      </c>
      <c r="V110" s="845"/>
      <c r="W110" s="845"/>
      <c r="X110" s="845"/>
      <c r="Y110" s="845"/>
      <c r="Z110" s="453"/>
      <c r="AA110" s="453"/>
      <c r="AB110" s="453" t="s">
        <v>560</v>
      </c>
      <c r="AC110" s="453"/>
      <c r="AD110" s="453"/>
      <c r="AE110" s="453"/>
      <c r="AF110" s="495" t="s">
        <v>473</v>
      </c>
    </row>
    <row r="111" spans="1:32" s="491" customFormat="1" ht="18" x14ac:dyDescent="0.25">
      <c r="A111" s="451" t="s">
        <v>467</v>
      </c>
      <c r="B111" s="452" t="s">
        <v>325</v>
      </c>
      <c r="C111" s="451" t="s">
        <v>561</v>
      </c>
      <c r="D111" s="844" t="s">
        <v>562</v>
      </c>
      <c r="E111" s="845"/>
      <c r="F111" s="845"/>
      <c r="G111" s="452" t="s">
        <v>293</v>
      </c>
      <c r="H111" s="846" t="s">
        <v>293</v>
      </c>
      <c r="I111" s="845"/>
      <c r="J111" s="845"/>
      <c r="K111" s="452" t="s">
        <v>316</v>
      </c>
      <c r="L111" s="846" t="s">
        <v>317</v>
      </c>
      <c r="M111" s="845"/>
      <c r="N111" s="452" t="s">
        <v>318</v>
      </c>
      <c r="O111" s="452" t="s">
        <v>293</v>
      </c>
      <c r="P111" s="452" t="s">
        <v>293</v>
      </c>
      <c r="Q111" s="847">
        <v>2.54</v>
      </c>
      <c r="R111" s="845"/>
      <c r="S111" s="847">
        <v>16.96</v>
      </c>
      <c r="T111" s="845"/>
      <c r="U111" s="848">
        <v>42208.34</v>
      </c>
      <c r="V111" s="845"/>
      <c r="W111" s="845"/>
      <c r="X111" s="845"/>
      <c r="Y111" s="845"/>
      <c r="Z111" s="453"/>
      <c r="AA111" s="453"/>
      <c r="AB111" s="453" t="s">
        <v>563</v>
      </c>
      <c r="AC111" s="453"/>
      <c r="AD111" s="453"/>
      <c r="AE111" s="453"/>
      <c r="AF111" s="453"/>
    </row>
    <row r="112" spans="1:32" s="491" customFormat="1" ht="18" x14ac:dyDescent="0.25">
      <c r="A112" s="451" t="s">
        <v>467</v>
      </c>
      <c r="B112" s="452" t="s">
        <v>325</v>
      </c>
      <c r="C112" s="451" t="s">
        <v>564</v>
      </c>
      <c r="D112" s="844" t="s">
        <v>565</v>
      </c>
      <c r="E112" s="845"/>
      <c r="F112" s="845"/>
      <c r="G112" s="452" t="s">
        <v>293</v>
      </c>
      <c r="H112" s="846" t="s">
        <v>293</v>
      </c>
      <c r="I112" s="845"/>
      <c r="J112" s="845"/>
      <c r="K112" s="452" t="s">
        <v>316</v>
      </c>
      <c r="L112" s="846" t="s">
        <v>317</v>
      </c>
      <c r="M112" s="845"/>
      <c r="N112" s="452" t="s">
        <v>318</v>
      </c>
      <c r="O112" s="452" t="s">
        <v>293</v>
      </c>
      <c r="P112" s="452" t="s">
        <v>293</v>
      </c>
      <c r="Q112" s="847">
        <v>6.18</v>
      </c>
      <c r="R112" s="845"/>
      <c r="S112" s="847">
        <v>41.22</v>
      </c>
      <c r="T112" s="845"/>
      <c r="U112" s="848">
        <v>42249.56</v>
      </c>
      <c r="V112" s="845"/>
      <c r="W112" s="845"/>
      <c r="X112" s="845"/>
      <c r="Y112" s="845"/>
      <c r="Z112" s="453"/>
      <c r="AA112" s="453"/>
      <c r="AB112" s="453" t="s">
        <v>563</v>
      </c>
      <c r="AC112" s="453"/>
      <c r="AD112" s="453"/>
      <c r="AE112" s="453"/>
      <c r="AF112" s="453"/>
    </row>
    <row r="113" spans="1:32" s="491" customFormat="1" ht="18" x14ac:dyDescent="0.25">
      <c r="A113" s="451" t="s">
        <v>467</v>
      </c>
      <c r="B113" s="452" t="s">
        <v>325</v>
      </c>
      <c r="C113" s="451" t="s">
        <v>566</v>
      </c>
      <c r="D113" s="844" t="s">
        <v>567</v>
      </c>
      <c r="E113" s="845"/>
      <c r="F113" s="845"/>
      <c r="G113" s="452" t="s">
        <v>293</v>
      </c>
      <c r="H113" s="846" t="s">
        <v>293</v>
      </c>
      <c r="I113" s="845"/>
      <c r="J113" s="845"/>
      <c r="K113" s="452" t="s">
        <v>316</v>
      </c>
      <c r="L113" s="846" t="s">
        <v>317</v>
      </c>
      <c r="M113" s="845"/>
      <c r="N113" s="452" t="s">
        <v>318</v>
      </c>
      <c r="O113" s="452" t="s">
        <v>293</v>
      </c>
      <c r="P113" s="452" t="s">
        <v>293</v>
      </c>
      <c r="Q113" s="847">
        <v>7.9</v>
      </c>
      <c r="R113" s="845"/>
      <c r="S113" s="847">
        <v>52.7</v>
      </c>
      <c r="T113" s="845"/>
      <c r="U113" s="848">
        <v>42302.26</v>
      </c>
      <c r="V113" s="845"/>
      <c r="W113" s="845"/>
      <c r="X113" s="845"/>
      <c r="Y113" s="845"/>
      <c r="Z113" s="453"/>
      <c r="AA113" s="453"/>
      <c r="AB113" s="453" t="s">
        <v>563</v>
      </c>
      <c r="AC113" s="453"/>
      <c r="AD113" s="453"/>
      <c r="AE113" s="453"/>
      <c r="AF113" s="453"/>
    </row>
    <row r="114" spans="1:32" s="498" customFormat="1" ht="18" x14ac:dyDescent="0.25">
      <c r="A114" s="496" t="s">
        <v>467</v>
      </c>
      <c r="B114" s="497" t="s">
        <v>325</v>
      </c>
      <c r="C114" s="496" t="s">
        <v>568</v>
      </c>
      <c r="D114" s="854" t="s">
        <v>569</v>
      </c>
      <c r="E114" s="855"/>
      <c r="F114" s="855"/>
      <c r="G114" s="497" t="s">
        <v>293</v>
      </c>
      <c r="H114" s="856" t="s">
        <v>293</v>
      </c>
      <c r="I114" s="855"/>
      <c r="J114" s="855"/>
      <c r="K114" s="497" t="s">
        <v>316</v>
      </c>
      <c r="L114" s="856" t="s">
        <v>317</v>
      </c>
      <c r="M114" s="855"/>
      <c r="N114" s="497" t="s">
        <v>318</v>
      </c>
      <c r="O114" s="497" t="s">
        <v>293</v>
      </c>
      <c r="P114" s="497" t="s">
        <v>293</v>
      </c>
      <c r="Q114" s="857">
        <v>3.26</v>
      </c>
      <c r="R114" s="855"/>
      <c r="S114" s="857">
        <v>21.74</v>
      </c>
      <c r="T114" s="855"/>
      <c r="U114" s="858">
        <v>42324</v>
      </c>
      <c r="V114" s="855"/>
      <c r="W114" s="855"/>
      <c r="X114" s="845"/>
      <c r="Y114" s="855"/>
      <c r="Z114" s="453"/>
      <c r="AB114" s="498" t="s">
        <v>563</v>
      </c>
    </row>
    <row r="115" spans="1:32" ht="18" x14ac:dyDescent="0.25">
      <c r="A115" s="450" t="s">
        <v>467</v>
      </c>
      <c r="B115" s="446" t="s">
        <v>325</v>
      </c>
      <c r="C115" s="450" t="s">
        <v>570</v>
      </c>
      <c r="D115" s="840" t="s">
        <v>571</v>
      </c>
      <c r="E115" s="828"/>
      <c r="F115" s="828"/>
      <c r="G115" s="446" t="s">
        <v>293</v>
      </c>
      <c r="H115" s="830" t="s">
        <v>293</v>
      </c>
      <c r="I115" s="828"/>
      <c r="J115" s="828"/>
      <c r="K115" s="446" t="s">
        <v>316</v>
      </c>
      <c r="L115" s="830" t="s">
        <v>317</v>
      </c>
      <c r="M115" s="828"/>
      <c r="N115" s="446" t="s">
        <v>318</v>
      </c>
      <c r="O115" s="446" t="s">
        <v>293</v>
      </c>
      <c r="P115" s="446" t="s">
        <v>293</v>
      </c>
      <c r="Q115" s="841">
        <v>2.62</v>
      </c>
      <c r="R115" s="828"/>
      <c r="S115" s="841">
        <v>17.48</v>
      </c>
      <c r="T115" s="828"/>
      <c r="U115" s="842">
        <v>42341.48</v>
      </c>
      <c r="V115" s="828"/>
      <c r="W115" s="828"/>
      <c r="X115" s="828"/>
      <c r="Y115" s="828"/>
      <c r="Z115" s="445"/>
      <c r="AA115" s="445"/>
      <c r="AB115" s="445"/>
      <c r="AC115" s="445"/>
      <c r="AD115" s="445"/>
      <c r="AE115" s="445"/>
      <c r="AF115" s="445"/>
    </row>
    <row r="116" spans="1:32" s="491" customFormat="1" ht="18" x14ac:dyDescent="0.25">
      <c r="A116" s="451" t="s">
        <v>467</v>
      </c>
      <c r="B116" s="452" t="s">
        <v>325</v>
      </c>
      <c r="C116" s="451" t="s">
        <v>572</v>
      </c>
      <c r="D116" s="844" t="s">
        <v>573</v>
      </c>
      <c r="E116" s="845"/>
      <c r="F116" s="845"/>
      <c r="G116" s="452" t="s">
        <v>293</v>
      </c>
      <c r="H116" s="846" t="s">
        <v>293</v>
      </c>
      <c r="I116" s="845"/>
      <c r="J116" s="845"/>
      <c r="K116" s="452" t="s">
        <v>316</v>
      </c>
      <c r="L116" s="846" t="s">
        <v>317</v>
      </c>
      <c r="M116" s="845"/>
      <c r="N116" s="452" t="s">
        <v>318</v>
      </c>
      <c r="O116" s="452" t="s">
        <v>293</v>
      </c>
      <c r="P116" s="452" t="s">
        <v>293</v>
      </c>
      <c r="Q116" s="847">
        <v>1.1499999999999999</v>
      </c>
      <c r="R116" s="845"/>
      <c r="S116" s="847">
        <v>7.65</v>
      </c>
      <c r="T116" s="845"/>
      <c r="U116" s="848">
        <v>42349.13</v>
      </c>
      <c r="V116" s="845"/>
      <c r="W116" s="845"/>
      <c r="X116" s="845"/>
      <c r="Y116" s="845"/>
      <c r="Z116" s="453"/>
      <c r="AA116" s="453"/>
      <c r="AB116" s="453" t="s">
        <v>574</v>
      </c>
      <c r="AC116" s="453"/>
      <c r="AD116" s="453"/>
      <c r="AE116" s="453"/>
      <c r="AF116" s="495" t="s">
        <v>473</v>
      </c>
    </row>
    <row r="117" spans="1:32" s="491" customFormat="1" ht="18" x14ac:dyDescent="0.25">
      <c r="A117" s="451" t="s">
        <v>467</v>
      </c>
      <c r="B117" s="452" t="s">
        <v>325</v>
      </c>
      <c r="C117" s="451" t="s">
        <v>575</v>
      </c>
      <c r="D117" s="844" t="s">
        <v>576</v>
      </c>
      <c r="E117" s="845"/>
      <c r="F117" s="845"/>
      <c r="G117" s="452" t="s">
        <v>293</v>
      </c>
      <c r="H117" s="846" t="s">
        <v>293</v>
      </c>
      <c r="I117" s="845"/>
      <c r="J117" s="845"/>
      <c r="K117" s="452" t="s">
        <v>316</v>
      </c>
      <c r="L117" s="846" t="s">
        <v>317</v>
      </c>
      <c r="M117" s="845"/>
      <c r="N117" s="452" t="s">
        <v>318</v>
      </c>
      <c r="O117" s="452" t="s">
        <v>293</v>
      </c>
      <c r="P117" s="452" t="s">
        <v>293</v>
      </c>
      <c r="Q117" s="847">
        <v>58.27</v>
      </c>
      <c r="R117" s="845"/>
      <c r="S117" s="847">
        <v>388.49</v>
      </c>
      <c r="T117" s="845"/>
      <c r="U117" s="848">
        <v>42737.62</v>
      </c>
      <c r="V117" s="845"/>
      <c r="W117" s="845"/>
      <c r="X117" s="845"/>
      <c r="Y117" s="845"/>
      <c r="Z117" s="453"/>
      <c r="AA117" s="453"/>
      <c r="AB117" s="453" t="s">
        <v>577</v>
      </c>
      <c r="AC117" s="453"/>
      <c r="AD117" s="453"/>
      <c r="AE117" s="453"/>
      <c r="AF117" s="453"/>
    </row>
    <row r="118" spans="1:32" s="491" customFormat="1" ht="18" x14ac:dyDescent="0.25">
      <c r="A118" s="451" t="s">
        <v>578</v>
      </c>
      <c r="B118" s="452" t="s">
        <v>325</v>
      </c>
      <c r="C118" s="451" t="s">
        <v>579</v>
      </c>
      <c r="D118" s="844" t="s">
        <v>580</v>
      </c>
      <c r="E118" s="845"/>
      <c r="F118" s="845"/>
      <c r="G118" s="452" t="s">
        <v>293</v>
      </c>
      <c r="H118" s="846" t="s">
        <v>293</v>
      </c>
      <c r="I118" s="845"/>
      <c r="J118" s="845"/>
      <c r="K118" s="452" t="s">
        <v>316</v>
      </c>
      <c r="L118" s="846" t="s">
        <v>317</v>
      </c>
      <c r="M118" s="845"/>
      <c r="N118" s="452" t="s">
        <v>318</v>
      </c>
      <c r="O118" s="452" t="s">
        <v>293</v>
      </c>
      <c r="P118" s="452" t="s">
        <v>293</v>
      </c>
      <c r="Q118" s="847">
        <v>5.35</v>
      </c>
      <c r="R118" s="845"/>
      <c r="S118" s="847">
        <v>35.65</v>
      </c>
      <c r="T118" s="845"/>
      <c r="U118" s="848">
        <v>42773.27</v>
      </c>
      <c r="V118" s="845"/>
      <c r="W118" s="845"/>
      <c r="X118" s="845"/>
      <c r="Y118" s="845"/>
      <c r="Z118" s="453"/>
      <c r="AA118" s="453"/>
      <c r="AB118" s="453" t="s">
        <v>563</v>
      </c>
      <c r="AC118" s="453"/>
      <c r="AD118" s="453"/>
      <c r="AE118" s="453"/>
      <c r="AF118" s="453"/>
    </row>
    <row r="119" spans="1:32" s="491" customFormat="1" ht="18" x14ac:dyDescent="0.25">
      <c r="A119" s="451" t="s">
        <v>581</v>
      </c>
      <c r="B119" s="452" t="s">
        <v>325</v>
      </c>
      <c r="C119" s="451" t="s">
        <v>582</v>
      </c>
      <c r="D119" s="844" t="s">
        <v>583</v>
      </c>
      <c r="E119" s="845"/>
      <c r="F119" s="845"/>
      <c r="G119" s="452" t="s">
        <v>293</v>
      </c>
      <c r="H119" s="846" t="s">
        <v>293</v>
      </c>
      <c r="I119" s="845"/>
      <c r="J119" s="845"/>
      <c r="K119" s="452" t="s">
        <v>316</v>
      </c>
      <c r="L119" s="846" t="s">
        <v>317</v>
      </c>
      <c r="M119" s="845"/>
      <c r="N119" s="452" t="s">
        <v>318</v>
      </c>
      <c r="O119" s="452" t="s">
        <v>293</v>
      </c>
      <c r="P119" s="452" t="s">
        <v>293</v>
      </c>
      <c r="Q119" s="847">
        <v>3.26</v>
      </c>
      <c r="R119" s="845"/>
      <c r="S119" s="847">
        <v>21.74</v>
      </c>
      <c r="T119" s="845"/>
      <c r="U119" s="848">
        <v>42795.01</v>
      </c>
      <c r="V119" s="845"/>
      <c r="W119" s="845"/>
      <c r="X119" s="845"/>
      <c r="Y119" s="845"/>
      <c r="Z119" s="453"/>
      <c r="AA119" s="453"/>
      <c r="AB119" s="453" t="s">
        <v>563</v>
      </c>
      <c r="AC119" s="453"/>
      <c r="AD119" s="453"/>
      <c r="AE119" s="453"/>
      <c r="AF119" s="453"/>
    </row>
    <row r="120" spans="1:32" ht="18" x14ac:dyDescent="0.25">
      <c r="A120" s="450" t="s">
        <v>584</v>
      </c>
      <c r="B120" s="446" t="s">
        <v>325</v>
      </c>
      <c r="C120" s="450" t="s">
        <v>585</v>
      </c>
      <c r="D120" s="840" t="s">
        <v>586</v>
      </c>
      <c r="E120" s="828"/>
      <c r="F120" s="828"/>
      <c r="G120" s="446" t="s">
        <v>293</v>
      </c>
      <c r="H120" s="830" t="s">
        <v>293</v>
      </c>
      <c r="I120" s="828"/>
      <c r="J120" s="828"/>
      <c r="K120" s="446" t="s">
        <v>316</v>
      </c>
      <c r="L120" s="830" t="s">
        <v>317</v>
      </c>
      <c r="M120" s="828"/>
      <c r="N120" s="446" t="s">
        <v>318</v>
      </c>
      <c r="O120" s="446" t="s">
        <v>293</v>
      </c>
      <c r="P120" s="446" t="s">
        <v>293</v>
      </c>
      <c r="Q120" s="841">
        <v>2.54</v>
      </c>
      <c r="R120" s="828"/>
      <c r="S120" s="841">
        <v>16.96</v>
      </c>
      <c r="T120" s="828"/>
      <c r="U120" s="842">
        <v>42811.97</v>
      </c>
      <c r="V120" s="828"/>
      <c r="W120" s="828"/>
      <c r="X120" s="828"/>
      <c r="Y120" s="828"/>
      <c r="Z120" s="445"/>
      <c r="AA120" s="445"/>
      <c r="AB120" s="445"/>
      <c r="AC120" s="445"/>
      <c r="AD120" s="445"/>
      <c r="AE120" s="445"/>
      <c r="AF120" s="445"/>
    </row>
    <row r="121" spans="1:32" s="491" customFormat="1" ht="18" x14ac:dyDescent="0.25">
      <c r="A121" s="451" t="s">
        <v>451</v>
      </c>
      <c r="B121" s="452" t="s">
        <v>325</v>
      </c>
      <c r="C121" s="451" t="s">
        <v>587</v>
      </c>
      <c r="D121" s="844" t="s">
        <v>588</v>
      </c>
      <c r="E121" s="845"/>
      <c r="F121" s="845"/>
      <c r="G121" s="452" t="s">
        <v>293</v>
      </c>
      <c r="H121" s="846" t="s">
        <v>293</v>
      </c>
      <c r="I121" s="845"/>
      <c r="J121" s="845"/>
      <c r="K121" s="452" t="s">
        <v>316</v>
      </c>
      <c r="L121" s="846" t="s">
        <v>317</v>
      </c>
      <c r="M121" s="845"/>
      <c r="N121" s="452" t="s">
        <v>318</v>
      </c>
      <c r="O121" s="452" t="s">
        <v>293</v>
      </c>
      <c r="P121" s="452" t="s">
        <v>293</v>
      </c>
      <c r="Q121" s="847">
        <v>3.26</v>
      </c>
      <c r="R121" s="845"/>
      <c r="S121" s="847">
        <v>21.7</v>
      </c>
      <c r="T121" s="845"/>
      <c r="U121" s="848">
        <v>42833.67</v>
      </c>
      <c r="V121" s="845"/>
      <c r="W121" s="845"/>
      <c r="X121" s="845"/>
      <c r="Y121" s="845"/>
      <c r="Z121" s="453"/>
      <c r="AA121" s="453"/>
      <c r="AB121" s="453" t="s">
        <v>563</v>
      </c>
      <c r="AC121" s="453"/>
      <c r="AD121" s="453"/>
      <c r="AE121" s="453"/>
      <c r="AF121" s="453"/>
    </row>
    <row r="122" spans="1:32" x14ac:dyDescent="0.25">
      <c r="A122" s="831" t="s">
        <v>293</v>
      </c>
      <c r="B122" s="828"/>
      <c r="C122" s="828"/>
      <c r="D122" s="828"/>
      <c r="E122" s="831" t="s">
        <v>387</v>
      </c>
      <c r="F122" s="828"/>
      <c r="G122" s="828"/>
      <c r="H122" s="831" t="s">
        <v>293</v>
      </c>
      <c r="I122" s="828"/>
      <c r="J122" s="828"/>
      <c r="K122" s="828"/>
      <c r="L122" s="828"/>
      <c r="M122" s="828"/>
      <c r="N122" s="449" t="s">
        <v>293</v>
      </c>
      <c r="O122" s="449" t="s">
        <v>293</v>
      </c>
      <c r="P122" s="449" t="s">
        <v>293</v>
      </c>
      <c r="Q122" s="843">
        <v>269.49</v>
      </c>
      <c r="R122" s="828"/>
      <c r="S122" s="843">
        <v>1379.24</v>
      </c>
      <c r="T122" s="828"/>
      <c r="U122" s="843">
        <v>42833.67</v>
      </c>
      <c r="V122" s="828"/>
      <c r="W122" s="828"/>
      <c r="X122" s="828"/>
      <c r="Y122" s="828"/>
      <c r="Z122" s="445"/>
      <c r="AA122" s="445"/>
      <c r="AB122" s="445"/>
      <c r="AC122" s="445"/>
      <c r="AD122" s="445"/>
      <c r="AE122" s="445"/>
      <c r="AF122" s="445"/>
    </row>
    <row r="123" spans="1:32" ht="24" customHeight="1" x14ac:dyDescent="0.25">
      <c r="A123" s="833" t="s">
        <v>293</v>
      </c>
      <c r="B123" s="828"/>
      <c r="C123" s="828"/>
      <c r="D123" s="828"/>
      <c r="E123" s="828"/>
      <c r="F123" s="828"/>
      <c r="G123" s="828"/>
      <c r="H123" s="828"/>
      <c r="I123" s="828"/>
      <c r="J123" s="828"/>
      <c r="K123" s="828"/>
      <c r="L123" s="828"/>
      <c r="M123" s="828"/>
      <c r="N123" s="828"/>
      <c r="O123" s="828"/>
      <c r="P123" s="828"/>
      <c r="Q123" s="828"/>
      <c r="R123" s="828"/>
      <c r="S123" s="828"/>
      <c r="T123" s="828"/>
      <c r="U123" s="828"/>
      <c r="V123" s="828"/>
      <c r="W123" s="828"/>
      <c r="X123" s="828"/>
      <c r="Y123" s="828"/>
      <c r="Z123" s="445"/>
      <c r="AA123" s="445"/>
      <c r="AB123" s="445"/>
      <c r="AC123" s="445"/>
      <c r="AD123" s="445"/>
      <c r="AE123" s="445"/>
      <c r="AF123" s="445"/>
    </row>
    <row r="124" spans="1:32" ht="12" customHeight="1" x14ac:dyDescent="0.25">
      <c r="A124" s="831" t="s">
        <v>307</v>
      </c>
      <c r="B124" s="828"/>
      <c r="C124" s="449" t="s">
        <v>293</v>
      </c>
      <c r="D124" s="449" t="s">
        <v>589</v>
      </c>
      <c r="E124" s="831" t="s">
        <v>590</v>
      </c>
      <c r="F124" s="828"/>
      <c r="G124" s="828"/>
      <c r="H124" s="831" t="s">
        <v>293</v>
      </c>
      <c r="I124" s="828"/>
      <c r="J124" s="828"/>
      <c r="K124" s="828"/>
      <c r="L124" s="828"/>
      <c r="M124" s="828"/>
      <c r="N124" s="828"/>
      <c r="O124" s="828"/>
      <c r="P124" s="828"/>
      <c r="Q124" s="828"/>
      <c r="R124" s="828"/>
      <c r="S124" s="828"/>
      <c r="T124" s="828"/>
      <c r="U124" s="843">
        <v>3966.52</v>
      </c>
      <c r="V124" s="828"/>
      <c r="W124" s="828"/>
      <c r="X124" s="828"/>
      <c r="Y124" s="828"/>
      <c r="Z124" s="445"/>
      <c r="AA124" s="445"/>
      <c r="AB124" s="445"/>
      <c r="AC124" s="445"/>
      <c r="AD124" s="445"/>
      <c r="AE124" s="445"/>
      <c r="AF124" s="445"/>
    </row>
    <row r="125" spans="1:32" x14ac:dyDescent="0.25">
      <c r="A125" s="450" t="s">
        <v>455</v>
      </c>
      <c r="B125" s="446" t="s">
        <v>325</v>
      </c>
      <c r="C125" s="450" t="s">
        <v>459</v>
      </c>
      <c r="D125" s="840" t="s">
        <v>487</v>
      </c>
      <c r="E125" s="828"/>
      <c r="F125" s="828"/>
      <c r="G125" s="446" t="s">
        <v>293</v>
      </c>
      <c r="H125" s="830" t="s">
        <v>293</v>
      </c>
      <c r="I125" s="828"/>
      <c r="J125" s="828"/>
      <c r="K125" s="446" t="s">
        <v>316</v>
      </c>
      <c r="L125" s="830" t="s">
        <v>317</v>
      </c>
      <c r="M125" s="828"/>
      <c r="N125" s="446" t="s">
        <v>318</v>
      </c>
      <c r="O125" s="446" t="s">
        <v>293</v>
      </c>
      <c r="P125" s="446" t="s">
        <v>293</v>
      </c>
      <c r="Q125" s="841">
        <v>0</v>
      </c>
      <c r="R125" s="828"/>
      <c r="S125" s="841">
        <v>-15</v>
      </c>
      <c r="T125" s="828"/>
      <c r="U125" s="842">
        <v>3951.52</v>
      </c>
      <c r="V125" s="828"/>
      <c r="W125" s="828"/>
      <c r="X125" s="828"/>
      <c r="Y125" s="828"/>
      <c r="Z125" s="445"/>
      <c r="AA125" s="445"/>
      <c r="AB125" s="445"/>
      <c r="AC125" s="445"/>
      <c r="AD125" s="445"/>
      <c r="AE125" s="445"/>
      <c r="AF125" s="445"/>
    </row>
    <row r="126" spans="1:32" x14ac:dyDescent="0.25">
      <c r="A126" s="450" t="s">
        <v>455</v>
      </c>
      <c r="B126" s="446" t="s">
        <v>325</v>
      </c>
      <c r="C126" s="450" t="s">
        <v>459</v>
      </c>
      <c r="D126" s="840" t="s">
        <v>488</v>
      </c>
      <c r="E126" s="828"/>
      <c r="F126" s="828"/>
      <c r="G126" s="446" t="s">
        <v>293</v>
      </c>
      <c r="H126" s="830" t="s">
        <v>293</v>
      </c>
      <c r="I126" s="828"/>
      <c r="J126" s="828"/>
      <c r="K126" s="446" t="s">
        <v>316</v>
      </c>
      <c r="L126" s="830" t="s">
        <v>317</v>
      </c>
      <c r="M126" s="828"/>
      <c r="N126" s="446" t="s">
        <v>318</v>
      </c>
      <c r="O126" s="446" t="s">
        <v>293</v>
      </c>
      <c r="P126" s="446" t="s">
        <v>293</v>
      </c>
      <c r="Q126" s="841">
        <v>0</v>
      </c>
      <c r="R126" s="828"/>
      <c r="S126" s="841">
        <v>-7.5</v>
      </c>
      <c r="T126" s="828"/>
      <c r="U126" s="842">
        <v>3944.02</v>
      </c>
      <c r="V126" s="828"/>
      <c r="W126" s="828"/>
      <c r="X126" s="828"/>
      <c r="Y126" s="828"/>
      <c r="Z126" s="445"/>
      <c r="AA126" s="445"/>
      <c r="AB126" s="445"/>
      <c r="AC126" s="445"/>
      <c r="AD126" s="445"/>
      <c r="AE126" s="445"/>
      <c r="AF126" s="445"/>
    </row>
    <row r="127" spans="1:32" ht="18" x14ac:dyDescent="0.25">
      <c r="A127" s="450" t="s">
        <v>455</v>
      </c>
      <c r="B127" s="446" t="s">
        <v>311</v>
      </c>
      <c r="C127" s="450" t="s">
        <v>503</v>
      </c>
      <c r="D127" s="840" t="s">
        <v>591</v>
      </c>
      <c r="E127" s="828"/>
      <c r="F127" s="828"/>
      <c r="G127" s="446" t="s">
        <v>505</v>
      </c>
      <c r="H127" s="830" t="s">
        <v>506</v>
      </c>
      <c r="I127" s="828"/>
      <c r="J127" s="828"/>
      <c r="K127" s="446" t="s">
        <v>316</v>
      </c>
      <c r="L127" s="830" t="s">
        <v>317</v>
      </c>
      <c r="M127" s="828"/>
      <c r="N127" s="446" t="s">
        <v>318</v>
      </c>
      <c r="O127" s="446" t="s">
        <v>293</v>
      </c>
      <c r="P127" s="446" t="s">
        <v>293</v>
      </c>
      <c r="Q127" s="841">
        <v>0.87</v>
      </c>
      <c r="R127" s="828"/>
      <c r="S127" s="841">
        <v>5.85</v>
      </c>
      <c r="T127" s="828"/>
      <c r="U127" s="842">
        <v>3949.87</v>
      </c>
      <c r="V127" s="828"/>
      <c r="W127" s="828"/>
      <c r="X127" s="828"/>
      <c r="Y127" s="828"/>
      <c r="Z127" s="445"/>
      <c r="AA127" s="445"/>
      <c r="AB127" s="445"/>
      <c r="AC127" s="445"/>
      <c r="AD127" s="445"/>
      <c r="AE127" s="445"/>
      <c r="AF127" s="445"/>
    </row>
    <row r="128" spans="1:32" s="491" customFormat="1" ht="18" x14ac:dyDescent="0.25">
      <c r="A128" s="451" t="s">
        <v>455</v>
      </c>
      <c r="B128" s="452" t="s">
        <v>311</v>
      </c>
      <c r="C128" s="451" t="s">
        <v>503</v>
      </c>
      <c r="D128" s="844" t="s">
        <v>592</v>
      </c>
      <c r="E128" s="845"/>
      <c r="F128" s="845"/>
      <c r="G128" s="452" t="s">
        <v>505</v>
      </c>
      <c r="H128" s="846" t="s">
        <v>506</v>
      </c>
      <c r="I128" s="845"/>
      <c r="J128" s="845"/>
      <c r="K128" s="452" t="s">
        <v>316</v>
      </c>
      <c r="L128" s="846" t="s">
        <v>317</v>
      </c>
      <c r="M128" s="845"/>
      <c r="N128" s="452" t="s">
        <v>318</v>
      </c>
      <c r="O128" s="452" t="s">
        <v>293</v>
      </c>
      <c r="P128" s="452" t="s">
        <v>293</v>
      </c>
      <c r="Q128" s="847">
        <v>5.23</v>
      </c>
      <c r="R128" s="845"/>
      <c r="S128" s="847">
        <v>34.85</v>
      </c>
      <c r="T128" s="845"/>
      <c r="U128" s="848">
        <v>3984.72</v>
      </c>
      <c r="V128" s="845"/>
      <c r="W128" s="845"/>
      <c r="X128" s="845"/>
      <c r="Y128" s="845"/>
      <c r="Z128" s="453"/>
      <c r="AA128" s="453"/>
      <c r="AB128" s="453"/>
      <c r="AC128" s="453"/>
      <c r="AD128" s="453"/>
      <c r="AE128" s="453"/>
      <c r="AF128" s="453"/>
    </row>
    <row r="129" spans="1:30" ht="18" x14ac:dyDescent="0.25">
      <c r="A129" s="450" t="s">
        <v>455</v>
      </c>
      <c r="B129" s="446" t="s">
        <v>311</v>
      </c>
      <c r="C129" s="450" t="s">
        <v>503</v>
      </c>
      <c r="D129" s="840" t="s">
        <v>593</v>
      </c>
      <c r="E129" s="828"/>
      <c r="F129" s="828"/>
      <c r="G129" s="446" t="s">
        <v>505</v>
      </c>
      <c r="H129" s="830" t="s">
        <v>506</v>
      </c>
      <c r="I129" s="828"/>
      <c r="J129" s="828"/>
      <c r="K129" s="446" t="s">
        <v>316</v>
      </c>
      <c r="L129" s="830" t="s">
        <v>317</v>
      </c>
      <c r="M129" s="828"/>
      <c r="N129" s="446" t="s">
        <v>318</v>
      </c>
      <c r="O129" s="446" t="s">
        <v>293</v>
      </c>
      <c r="P129" s="446" t="s">
        <v>293</v>
      </c>
      <c r="Q129" s="841">
        <v>2.85</v>
      </c>
      <c r="R129" s="828"/>
      <c r="S129" s="841">
        <v>19</v>
      </c>
      <c r="T129" s="828"/>
      <c r="U129" s="842">
        <v>4003.72</v>
      </c>
      <c r="V129" s="828"/>
      <c r="W129" s="828"/>
      <c r="X129" s="828"/>
      <c r="Y129" s="828"/>
      <c r="Z129" s="445"/>
      <c r="AA129" s="445"/>
      <c r="AB129" s="445"/>
      <c r="AC129" s="445"/>
      <c r="AD129" s="445"/>
    </row>
    <row r="130" spans="1:30" s="491" customFormat="1" ht="18" x14ac:dyDescent="0.25">
      <c r="A130" s="451" t="s">
        <v>494</v>
      </c>
      <c r="B130" s="452" t="s">
        <v>311</v>
      </c>
      <c r="C130" s="451" t="s">
        <v>509</v>
      </c>
      <c r="D130" s="844" t="s">
        <v>594</v>
      </c>
      <c r="E130" s="845"/>
      <c r="F130" s="845"/>
      <c r="G130" s="452" t="s">
        <v>505</v>
      </c>
      <c r="H130" s="846" t="s">
        <v>511</v>
      </c>
      <c r="I130" s="845"/>
      <c r="J130" s="845"/>
      <c r="K130" s="452" t="s">
        <v>316</v>
      </c>
      <c r="L130" s="846" t="s">
        <v>317</v>
      </c>
      <c r="M130" s="845"/>
      <c r="N130" s="452" t="s">
        <v>318</v>
      </c>
      <c r="O130" s="452" t="s">
        <v>293</v>
      </c>
      <c r="P130" s="452" t="s">
        <v>293</v>
      </c>
      <c r="Q130" s="847">
        <v>4.7</v>
      </c>
      <c r="R130" s="845"/>
      <c r="S130" s="847">
        <v>31.35</v>
      </c>
      <c r="T130" s="845"/>
      <c r="U130" s="848">
        <v>4035.07</v>
      </c>
      <c r="V130" s="845"/>
      <c r="W130" s="845"/>
      <c r="X130" s="845"/>
      <c r="Y130" s="845"/>
      <c r="Z130" s="453"/>
      <c r="AA130" s="453"/>
      <c r="AB130" s="453"/>
      <c r="AC130" s="453"/>
      <c r="AD130" s="453"/>
    </row>
    <row r="131" spans="1:30" ht="18" x14ac:dyDescent="0.25">
      <c r="A131" s="450" t="s">
        <v>494</v>
      </c>
      <c r="B131" s="446" t="s">
        <v>311</v>
      </c>
      <c r="C131" s="450" t="s">
        <v>509</v>
      </c>
      <c r="D131" s="840" t="s">
        <v>595</v>
      </c>
      <c r="E131" s="828"/>
      <c r="F131" s="828"/>
      <c r="G131" s="446" t="s">
        <v>505</v>
      </c>
      <c r="H131" s="830" t="s">
        <v>511</v>
      </c>
      <c r="I131" s="828"/>
      <c r="J131" s="828"/>
      <c r="K131" s="446" t="s">
        <v>316</v>
      </c>
      <c r="L131" s="830" t="s">
        <v>317</v>
      </c>
      <c r="M131" s="828"/>
      <c r="N131" s="446" t="s">
        <v>318</v>
      </c>
      <c r="O131" s="446" t="s">
        <v>293</v>
      </c>
      <c r="P131" s="446" t="s">
        <v>293</v>
      </c>
      <c r="Q131" s="841">
        <v>1.28</v>
      </c>
      <c r="R131" s="828"/>
      <c r="S131" s="841">
        <v>8.5</v>
      </c>
      <c r="T131" s="828"/>
      <c r="U131" s="842">
        <v>4043.57</v>
      </c>
      <c r="V131" s="828"/>
      <c r="W131" s="828"/>
      <c r="X131" s="828"/>
      <c r="Y131" s="828"/>
      <c r="Z131" s="445"/>
      <c r="AA131" s="445"/>
      <c r="AB131" s="445"/>
      <c r="AC131" s="445"/>
      <c r="AD131" s="445"/>
    </row>
    <row r="132" spans="1:30" s="491" customFormat="1" ht="18" x14ac:dyDescent="0.25">
      <c r="A132" s="451" t="s">
        <v>494</v>
      </c>
      <c r="B132" s="452" t="s">
        <v>311</v>
      </c>
      <c r="C132" s="451" t="s">
        <v>509</v>
      </c>
      <c r="D132" s="844" t="s">
        <v>596</v>
      </c>
      <c r="E132" s="845"/>
      <c r="F132" s="845"/>
      <c r="G132" s="452" t="s">
        <v>505</v>
      </c>
      <c r="H132" s="846" t="s">
        <v>511</v>
      </c>
      <c r="I132" s="845"/>
      <c r="J132" s="845"/>
      <c r="K132" s="452" t="s">
        <v>316</v>
      </c>
      <c r="L132" s="846" t="s">
        <v>317</v>
      </c>
      <c r="M132" s="845"/>
      <c r="N132" s="452" t="s">
        <v>318</v>
      </c>
      <c r="O132" s="452" t="s">
        <v>293</v>
      </c>
      <c r="P132" s="452" t="s">
        <v>293</v>
      </c>
      <c r="Q132" s="847">
        <v>1.27</v>
      </c>
      <c r="R132" s="845"/>
      <c r="S132" s="847">
        <v>8.5</v>
      </c>
      <c r="T132" s="845"/>
      <c r="U132" s="848">
        <v>4052.07</v>
      </c>
      <c r="V132" s="845"/>
      <c r="W132" s="845"/>
      <c r="X132" s="845"/>
      <c r="Y132" s="845"/>
      <c r="Z132" s="453"/>
      <c r="AA132" s="453"/>
      <c r="AB132" s="453"/>
      <c r="AC132" s="453"/>
      <c r="AD132" s="453"/>
    </row>
    <row r="133" spans="1:30" ht="18" x14ac:dyDescent="0.25">
      <c r="A133" s="450" t="s">
        <v>494</v>
      </c>
      <c r="B133" s="446" t="s">
        <v>311</v>
      </c>
      <c r="C133" s="450" t="s">
        <v>509</v>
      </c>
      <c r="D133" s="840" t="s">
        <v>597</v>
      </c>
      <c r="E133" s="828"/>
      <c r="F133" s="828"/>
      <c r="G133" s="446" t="s">
        <v>505</v>
      </c>
      <c r="H133" s="830" t="s">
        <v>511</v>
      </c>
      <c r="I133" s="828"/>
      <c r="J133" s="828"/>
      <c r="K133" s="446" t="s">
        <v>316</v>
      </c>
      <c r="L133" s="830" t="s">
        <v>317</v>
      </c>
      <c r="M133" s="828"/>
      <c r="N133" s="446" t="s">
        <v>318</v>
      </c>
      <c r="O133" s="446" t="s">
        <v>293</v>
      </c>
      <c r="P133" s="446" t="s">
        <v>293</v>
      </c>
      <c r="Q133" s="841">
        <v>1.1299999999999999</v>
      </c>
      <c r="R133" s="828"/>
      <c r="S133" s="841">
        <v>7.5</v>
      </c>
      <c r="T133" s="828"/>
      <c r="U133" s="842">
        <v>4059.57</v>
      </c>
      <c r="V133" s="828"/>
      <c r="W133" s="828"/>
      <c r="X133" s="828"/>
      <c r="Y133" s="828"/>
      <c r="Z133" s="445"/>
      <c r="AA133" s="445"/>
      <c r="AB133" s="445"/>
      <c r="AC133" s="445"/>
      <c r="AD133" s="445"/>
    </row>
    <row r="134" spans="1:30" x14ac:dyDescent="0.25">
      <c r="A134" s="831" t="s">
        <v>293</v>
      </c>
      <c r="B134" s="828"/>
      <c r="C134" s="828"/>
      <c r="D134" s="828"/>
      <c r="E134" s="831" t="s">
        <v>590</v>
      </c>
      <c r="F134" s="828"/>
      <c r="G134" s="828"/>
      <c r="H134" s="831" t="s">
        <v>293</v>
      </c>
      <c r="I134" s="828"/>
      <c r="J134" s="828"/>
      <c r="K134" s="828"/>
      <c r="L134" s="828"/>
      <c r="M134" s="828"/>
      <c r="N134" s="449" t="s">
        <v>293</v>
      </c>
      <c r="O134" s="449" t="s">
        <v>293</v>
      </c>
      <c r="P134" s="449" t="s">
        <v>293</v>
      </c>
      <c r="Q134" s="843">
        <v>17.329999999999998</v>
      </c>
      <c r="R134" s="828"/>
      <c r="S134" s="843">
        <v>93.05</v>
      </c>
      <c r="T134" s="828"/>
      <c r="U134" s="843">
        <v>4059.57</v>
      </c>
      <c r="V134" s="828"/>
      <c r="W134" s="828"/>
      <c r="X134" s="828"/>
      <c r="Y134" s="828"/>
      <c r="Z134" s="445"/>
      <c r="AA134" s="445"/>
      <c r="AB134" s="445"/>
      <c r="AC134" s="445"/>
      <c r="AD134" s="445"/>
    </row>
    <row r="135" spans="1:30" ht="24" customHeight="1" x14ac:dyDescent="0.25">
      <c r="A135" s="833" t="s">
        <v>293</v>
      </c>
      <c r="B135" s="828"/>
      <c r="C135" s="828"/>
      <c r="D135" s="828"/>
      <c r="E135" s="828"/>
      <c r="F135" s="828"/>
      <c r="G135" s="828"/>
      <c r="H135" s="828"/>
      <c r="I135" s="828"/>
      <c r="J135" s="828"/>
      <c r="K135" s="828"/>
      <c r="L135" s="828"/>
      <c r="M135" s="828"/>
      <c r="N135" s="828"/>
      <c r="O135" s="828"/>
      <c r="P135" s="828"/>
      <c r="Q135" s="828"/>
      <c r="R135" s="828"/>
      <c r="S135" s="828"/>
      <c r="T135" s="828"/>
      <c r="U135" s="828"/>
      <c r="V135" s="828"/>
      <c r="W135" s="828"/>
      <c r="X135" s="828"/>
      <c r="Y135" s="828"/>
      <c r="Z135" s="445"/>
      <c r="AA135" s="445"/>
      <c r="AB135" s="445"/>
      <c r="AC135" s="445"/>
      <c r="AD135" s="445"/>
    </row>
    <row r="136" spans="1:30" ht="12" customHeight="1" x14ac:dyDescent="0.25">
      <c r="A136" s="831" t="s">
        <v>307</v>
      </c>
      <c r="B136" s="828"/>
      <c r="C136" s="449" t="s">
        <v>293</v>
      </c>
      <c r="D136" s="449" t="s">
        <v>398</v>
      </c>
      <c r="E136" s="831" t="s">
        <v>399</v>
      </c>
      <c r="F136" s="828"/>
      <c r="G136" s="828"/>
      <c r="H136" s="831" t="s">
        <v>293</v>
      </c>
      <c r="I136" s="828"/>
      <c r="J136" s="828"/>
      <c r="K136" s="828"/>
      <c r="L136" s="828"/>
      <c r="M136" s="828"/>
      <c r="N136" s="828"/>
      <c r="O136" s="828"/>
      <c r="P136" s="828"/>
      <c r="Q136" s="828"/>
      <c r="R136" s="828"/>
      <c r="S136" s="828"/>
      <c r="T136" s="828"/>
      <c r="U136" s="843">
        <v>17291.72</v>
      </c>
      <c r="V136" s="828"/>
      <c r="W136" s="828"/>
      <c r="X136" s="828"/>
      <c r="Y136" s="828"/>
      <c r="Z136" s="445"/>
      <c r="AA136" s="445"/>
      <c r="AB136" s="445"/>
      <c r="AC136" s="445"/>
      <c r="AD136" s="445"/>
    </row>
    <row r="137" spans="1:30" ht="18" x14ac:dyDescent="0.25">
      <c r="A137" s="450" t="s">
        <v>455</v>
      </c>
      <c r="B137" s="446" t="s">
        <v>325</v>
      </c>
      <c r="C137" s="450" t="s">
        <v>598</v>
      </c>
      <c r="D137" s="840" t="s">
        <v>599</v>
      </c>
      <c r="E137" s="828"/>
      <c r="F137" s="828"/>
      <c r="G137" s="446" t="s">
        <v>293</v>
      </c>
      <c r="H137" s="830" t="s">
        <v>293</v>
      </c>
      <c r="I137" s="828"/>
      <c r="J137" s="828"/>
      <c r="K137" s="446" t="s">
        <v>316</v>
      </c>
      <c r="L137" s="830" t="s">
        <v>317</v>
      </c>
      <c r="M137" s="828"/>
      <c r="N137" s="446" t="s">
        <v>318</v>
      </c>
      <c r="O137" s="446" t="s">
        <v>293</v>
      </c>
      <c r="P137" s="446" t="s">
        <v>293</v>
      </c>
      <c r="Q137" s="841">
        <v>10.8</v>
      </c>
      <c r="R137" s="828"/>
      <c r="S137" s="841">
        <v>72</v>
      </c>
      <c r="T137" s="828"/>
      <c r="U137" s="842">
        <v>17363.72</v>
      </c>
      <c r="V137" s="828"/>
      <c r="W137" s="828"/>
      <c r="X137" s="828"/>
      <c r="Y137" s="828"/>
      <c r="Z137" s="445"/>
      <c r="AA137" s="445"/>
      <c r="AB137" s="445"/>
      <c r="AC137" s="445"/>
      <c r="AD137" s="445"/>
    </row>
    <row r="138" spans="1:30" ht="18" x14ac:dyDescent="0.25">
      <c r="A138" s="450" t="s">
        <v>455</v>
      </c>
      <c r="B138" s="446" t="s">
        <v>325</v>
      </c>
      <c r="C138" s="450" t="s">
        <v>600</v>
      </c>
      <c r="D138" s="840" t="s">
        <v>601</v>
      </c>
      <c r="E138" s="828"/>
      <c r="F138" s="828"/>
      <c r="G138" s="446" t="s">
        <v>293</v>
      </c>
      <c r="H138" s="830" t="s">
        <v>293</v>
      </c>
      <c r="I138" s="828"/>
      <c r="J138" s="828"/>
      <c r="K138" s="446" t="s">
        <v>316</v>
      </c>
      <c r="L138" s="830" t="s">
        <v>317</v>
      </c>
      <c r="M138" s="828"/>
      <c r="N138" s="446" t="s">
        <v>318</v>
      </c>
      <c r="O138" s="446" t="s">
        <v>293</v>
      </c>
      <c r="P138" s="446" t="s">
        <v>293</v>
      </c>
      <c r="Q138" s="841">
        <v>6.26</v>
      </c>
      <c r="R138" s="828"/>
      <c r="S138" s="841">
        <v>41.74</v>
      </c>
      <c r="T138" s="828"/>
      <c r="U138" s="842">
        <v>17405.46</v>
      </c>
      <c r="V138" s="828"/>
      <c r="W138" s="828"/>
      <c r="X138" s="828"/>
      <c r="Y138" s="828"/>
      <c r="Z138" s="445"/>
      <c r="AA138" s="445"/>
      <c r="AB138" s="445"/>
      <c r="AC138" s="445"/>
      <c r="AD138" s="445"/>
    </row>
    <row r="139" spans="1:30" s="491" customFormat="1" ht="18" x14ac:dyDescent="0.25">
      <c r="A139" s="451" t="s">
        <v>455</v>
      </c>
      <c r="B139" s="452" t="s">
        <v>325</v>
      </c>
      <c r="C139" s="451" t="s">
        <v>602</v>
      </c>
      <c r="D139" s="844" t="s">
        <v>603</v>
      </c>
      <c r="E139" s="845"/>
      <c r="F139" s="845"/>
      <c r="G139" s="452" t="s">
        <v>293</v>
      </c>
      <c r="H139" s="846" t="s">
        <v>293</v>
      </c>
      <c r="I139" s="845"/>
      <c r="J139" s="845"/>
      <c r="K139" s="452" t="s">
        <v>316</v>
      </c>
      <c r="L139" s="846" t="s">
        <v>317</v>
      </c>
      <c r="M139" s="845"/>
      <c r="N139" s="452" t="s">
        <v>318</v>
      </c>
      <c r="O139" s="452" t="s">
        <v>293</v>
      </c>
      <c r="P139" s="452" t="s">
        <v>293</v>
      </c>
      <c r="Q139" s="847">
        <v>2.88</v>
      </c>
      <c r="R139" s="845"/>
      <c r="S139" s="847">
        <v>19.22</v>
      </c>
      <c r="T139" s="845"/>
      <c r="U139" s="848">
        <v>17424.68</v>
      </c>
      <c r="V139" s="845"/>
      <c r="W139" s="845"/>
      <c r="X139" s="845"/>
      <c r="Y139" s="845"/>
      <c r="Z139" s="453"/>
      <c r="AA139" s="453"/>
      <c r="AB139" s="453" t="s">
        <v>604</v>
      </c>
      <c r="AC139" s="453"/>
      <c r="AD139" s="495" t="s">
        <v>473</v>
      </c>
    </row>
    <row r="140" spans="1:30" ht="18" x14ac:dyDescent="0.25">
      <c r="A140" s="450" t="s">
        <v>455</v>
      </c>
      <c r="B140" s="446" t="s">
        <v>325</v>
      </c>
      <c r="C140" s="450" t="s">
        <v>605</v>
      </c>
      <c r="D140" s="840" t="s">
        <v>601</v>
      </c>
      <c r="E140" s="828"/>
      <c r="F140" s="828"/>
      <c r="G140" s="446" t="s">
        <v>293</v>
      </c>
      <c r="H140" s="830" t="s">
        <v>293</v>
      </c>
      <c r="I140" s="828"/>
      <c r="J140" s="828"/>
      <c r="K140" s="446" t="s">
        <v>316</v>
      </c>
      <c r="L140" s="830" t="s">
        <v>317</v>
      </c>
      <c r="M140" s="828"/>
      <c r="N140" s="446" t="s">
        <v>318</v>
      </c>
      <c r="O140" s="446" t="s">
        <v>293</v>
      </c>
      <c r="P140" s="446" t="s">
        <v>293</v>
      </c>
      <c r="Q140" s="841">
        <v>6.61</v>
      </c>
      <c r="R140" s="828"/>
      <c r="S140" s="841">
        <v>44.09</v>
      </c>
      <c r="T140" s="828"/>
      <c r="U140" s="842">
        <v>17468.77</v>
      </c>
      <c r="V140" s="828"/>
      <c r="W140" s="828"/>
      <c r="X140" s="828"/>
      <c r="Y140" s="828"/>
      <c r="Z140" s="445"/>
      <c r="AA140" s="445"/>
      <c r="AB140" s="445"/>
      <c r="AC140" s="445"/>
      <c r="AD140" s="445"/>
    </row>
    <row r="141" spans="1:30" ht="18" x14ac:dyDescent="0.25">
      <c r="A141" s="450" t="s">
        <v>455</v>
      </c>
      <c r="B141" s="446" t="s">
        <v>325</v>
      </c>
      <c r="C141" s="450" t="s">
        <v>606</v>
      </c>
      <c r="D141" s="840" t="s">
        <v>607</v>
      </c>
      <c r="E141" s="828"/>
      <c r="F141" s="828"/>
      <c r="G141" s="446" t="s">
        <v>293</v>
      </c>
      <c r="H141" s="830" t="s">
        <v>293</v>
      </c>
      <c r="I141" s="828"/>
      <c r="J141" s="828"/>
      <c r="K141" s="446" t="s">
        <v>316</v>
      </c>
      <c r="L141" s="830" t="s">
        <v>317</v>
      </c>
      <c r="M141" s="828"/>
      <c r="N141" s="446" t="s">
        <v>318</v>
      </c>
      <c r="O141" s="446" t="s">
        <v>293</v>
      </c>
      <c r="P141" s="446" t="s">
        <v>293</v>
      </c>
      <c r="Q141" s="841">
        <v>7.22</v>
      </c>
      <c r="R141" s="828"/>
      <c r="S141" s="841">
        <v>48.15</v>
      </c>
      <c r="T141" s="828"/>
      <c r="U141" s="842">
        <v>17516.919999999998</v>
      </c>
      <c r="V141" s="828"/>
      <c r="W141" s="828"/>
      <c r="X141" s="828"/>
      <c r="Y141" s="828"/>
      <c r="Z141" s="445"/>
      <c r="AA141" s="445"/>
      <c r="AB141" s="445"/>
      <c r="AC141" s="445"/>
      <c r="AD141" s="445"/>
    </row>
    <row r="142" spans="1:30" ht="18" x14ac:dyDescent="0.25">
      <c r="A142" s="450" t="s">
        <v>455</v>
      </c>
      <c r="B142" s="446" t="s">
        <v>325</v>
      </c>
      <c r="C142" s="450" t="s">
        <v>608</v>
      </c>
      <c r="D142" s="840" t="s">
        <v>609</v>
      </c>
      <c r="E142" s="828"/>
      <c r="F142" s="828"/>
      <c r="G142" s="446" t="s">
        <v>293</v>
      </c>
      <c r="H142" s="830" t="s">
        <v>293</v>
      </c>
      <c r="I142" s="828"/>
      <c r="J142" s="828"/>
      <c r="K142" s="446" t="s">
        <v>316</v>
      </c>
      <c r="L142" s="830" t="s">
        <v>317</v>
      </c>
      <c r="M142" s="828"/>
      <c r="N142" s="446" t="s">
        <v>318</v>
      </c>
      <c r="O142" s="446" t="s">
        <v>293</v>
      </c>
      <c r="P142" s="446" t="s">
        <v>293</v>
      </c>
      <c r="Q142" s="841">
        <v>0.85</v>
      </c>
      <c r="R142" s="828"/>
      <c r="S142" s="841">
        <v>5.65</v>
      </c>
      <c r="T142" s="828"/>
      <c r="U142" s="842">
        <v>17522.57</v>
      </c>
      <c r="V142" s="828"/>
      <c r="W142" s="828"/>
      <c r="X142" s="828"/>
      <c r="Y142" s="828"/>
      <c r="Z142" s="445"/>
      <c r="AA142" s="445"/>
      <c r="AB142" s="445"/>
      <c r="AC142" s="445"/>
      <c r="AD142" s="445"/>
    </row>
    <row r="143" spans="1:30" ht="18" x14ac:dyDescent="0.25">
      <c r="A143" s="450" t="s">
        <v>455</v>
      </c>
      <c r="B143" s="446" t="s">
        <v>325</v>
      </c>
      <c r="C143" s="450" t="s">
        <v>610</v>
      </c>
      <c r="D143" s="840" t="s">
        <v>609</v>
      </c>
      <c r="E143" s="828"/>
      <c r="F143" s="828"/>
      <c r="G143" s="446" t="s">
        <v>293</v>
      </c>
      <c r="H143" s="830" t="s">
        <v>293</v>
      </c>
      <c r="I143" s="828"/>
      <c r="J143" s="828"/>
      <c r="K143" s="446" t="s">
        <v>316</v>
      </c>
      <c r="L143" s="830" t="s">
        <v>317</v>
      </c>
      <c r="M143" s="828"/>
      <c r="N143" s="446" t="s">
        <v>318</v>
      </c>
      <c r="O143" s="446" t="s">
        <v>293</v>
      </c>
      <c r="P143" s="446" t="s">
        <v>293</v>
      </c>
      <c r="Q143" s="841">
        <v>1.08</v>
      </c>
      <c r="R143" s="828"/>
      <c r="S143" s="841">
        <v>7.21</v>
      </c>
      <c r="T143" s="828"/>
      <c r="U143" s="842">
        <v>17529.78</v>
      </c>
      <c r="V143" s="828"/>
      <c r="W143" s="828"/>
      <c r="X143" s="828"/>
      <c r="Y143" s="828"/>
      <c r="Z143" s="445"/>
      <c r="AA143" s="445"/>
      <c r="AB143" s="445"/>
      <c r="AC143" s="445"/>
      <c r="AD143" s="445"/>
    </row>
    <row r="144" spans="1:30" ht="18" x14ac:dyDescent="0.25">
      <c r="A144" s="450" t="s">
        <v>455</v>
      </c>
      <c r="B144" s="446" t="s">
        <v>325</v>
      </c>
      <c r="C144" s="450" t="s">
        <v>611</v>
      </c>
      <c r="D144" s="840" t="s">
        <v>609</v>
      </c>
      <c r="E144" s="828"/>
      <c r="F144" s="828"/>
      <c r="G144" s="446" t="s">
        <v>293</v>
      </c>
      <c r="H144" s="830" t="s">
        <v>293</v>
      </c>
      <c r="I144" s="828"/>
      <c r="J144" s="828"/>
      <c r="K144" s="446" t="s">
        <v>316</v>
      </c>
      <c r="L144" s="830" t="s">
        <v>317</v>
      </c>
      <c r="M144" s="828"/>
      <c r="N144" s="446" t="s">
        <v>318</v>
      </c>
      <c r="O144" s="446" t="s">
        <v>293</v>
      </c>
      <c r="P144" s="446" t="s">
        <v>293</v>
      </c>
      <c r="Q144" s="841">
        <v>1.33</v>
      </c>
      <c r="R144" s="828"/>
      <c r="S144" s="841">
        <v>8.8699999999999992</v>
      </c>
      <c r="T144" s="828"/>
      <c r="U144" s="842">
        <v>17538.650000000001</v>
      </c>
      <c r="V144" s="828"/>
      <c r="W144" s="828"/>
      <c r="X144" s="828"/>
      <c r="Y144" s="828"/>
      <c r="Z144" s="445"/>
      <c r="AA144" s="445"/>
      <c r="AB144" s="445"/>
      <c r="AC144" s="445"/>
      <c r="AD144" s="445"/>
    </row>
    <row r="145" spans="1:28" ht="18" x14ac:dyDescent="0.25">
      <c r="A145" s="450" t="s">
        <v>455</v>
      </c>
      <c r="B145" s="446" t="s">
        <v>325</v>
      </c>
      <c r="C145" s="450" t="s">
        <v>612</v>
      </c>
      <c r="D145" s="840" t="s">
        <v>609</v>
      </c>
      <c r="E145" s="828"/>
      <c r="F145" s="828"/>
      <c r="G145" s="446" t="s">
        <v>293</v>
      </c>
      <c r="H145" s="830" t="s">
        <v>293</v>
      </c>
      <c r="I145" s="828"/>
      <c r="J145" s="828"/>
      <c r="K145" s="446" t="s">
        <v>316</v>
      </c>
      <c r="L145" s="830" t="s">
        <v>317</v>
      </c>
      <c r="M145" s="828"/>
      <c r="N145" s="446" t="s">
        <v>318</v>
      </c>
      <c r="O145" s="446" t="s">
        <v>293</v>
      </c>
      <c r="P145" s="446" t="s">
        <v>293</v>
      </c>
      <c r="Q145" s="841">
        <v>1.35</v>
      </c>
      <c r="R145" s="828"/>
      <c r="S145" s="841">
        <v>8.99</v>
      </c>
      <c r="T145" s="828"/>
      <c r="U145" s="842">
        <v>17547.64</v>
      </c>
      <c r="V145" s="828"/>
      <c r="W145" s="828"/>
      <c r="X145" s="828"/>
      <c r="Y145" s="828"/>
      <c r="Z145" s="445"/>
      <c r="AA145" s="445"/>
      <c r="AB145" s="445"/>
    </row>
    <row r="146" spans="1:28" ht="18" x14ac:dyDescent="0.25">
      <c r="A146" s="450" t="s">
        <v>455</v>
      </c>
      <c r="B146" s="446" t="s">
        <v>325</v>
      </c>
      <c r="C146" s="450" t="s">
        <v>613</v>
      </c>
      <c r="D146" s="840" t="s">
        <v>614</v>
      </c>
      <c r="E146" s="828"/>
      <c r="F146" s="828"/>
      <c r="G146" s="446" t="s">
        <v>293</v>
      </c>
      <c r="H146" s="830" t="s">
        <v>293</v>
      </c>
      <c r="I146" s="828"/>
      <c r="J146" s="828"/>
      <c r="K146" s="446" t="s">
        <v>316</v>
      </c>
      <c r="L146" s="830" t="s">
        <v>317</v>
      </c>
      <c r="M146" s="828"/>
      <c r="N146" s="446" t="s">
        <v>318</v>
      </c>
      <c r="O146" s="446" t="s">
        <v>293</v>
      </c>
      <c r="P146" s="446" t="s">
        <v>293</v>
      </c>
      <c r="Q146" s="841">
        <v>2.37</v>
      </c>
      <c r="R146" s="828"/>
      <c r="S146" s="841">
        <v>15.83</v>
      </c>
      <c r="T146" s="828"/>
      <c r="U146" s="842">
        <v>17563.47</v>
      </c>
      <c r="V146" s="828"/>
      <c r="W146" s="828"/>
      <c r="X146" s="828"/>
      <c r="Y146" s="828"/>
      <c r="Z146" s="445"/>
      <c r="AA146" s="445"/>
      <c r="AB146" s="445"/>
    </row>
    <row r="147" spans="1:28" ht="18" x14ac:dyDescent="0.25">
      <c r="A147" s="450" t="s">
        <v>455</v>
      </c>
      <c r="B147" s="446" t="s">
        <v>325</v>
      </c>
      <c r="C147" s="450" t="s">
        <v>615</v>
      </c>
      <c r="D147" s="840" t="s">
        <v>601</v>
      </c>
      <c r="E147" s="828"/>
      <c r="F147" s="828"/>
      <c r="G147" s="446" t="s">
        <v>293</v>
      </c>
      <c r="H147" s="830" t="s">
        <v>293</v>
      </c>
      <c r="I147" s="828"/>
      <c r="J147" s="828"/>
      <c r="K147" s="446" t="s">
        <v>316</v>
      </c>
      <c r="L147" s="830" t="s">
        <v>317</v>
      </c>
      <c r="M147" s="828"/>
      <c r="N147" s="446" t="s">
        <v>318</v>
      </c>
      <c r="O147" s="446" t="s">
        <v>293</v>
      </c>
      <c r="P147" s="446" t="s">
        <v>293</v>
      </c>
      <c r="Q147" s="841">
        <v>1.41</v>
      </c>
      <c r="R147" s="828"/>
      <c r="S147" s="841">
        <v>9.39</v>
      </c>
      <c r="T147" s="828"/>
      <c r="U147" s="842">
        <v>17572.86</v>
      </c>
      <c r="V147" s="828"/>
      <c r="W147" s="828"/>
      <c r="X147" s="828"/>
      <c r="Y147" s="828"/>
      <c r="Z147" s="445"/>
      <c r="AA147" s="445"/>
      <c r="AB147" s="445"/>
    </row>
    <row r="148" spans="1:28" ht="18" x14ac:dyDescent="0.25">
      <c r="A148" s="450" t="s">
        <v>455</v>
      </c>
      <c r="B148" s="446" t="s">
        <v>325</v>
      </c>
      <c r="C148" s="450" t="s">
        <v>616</v>
      </c>
      <c r="D148" s="840" t="s">
        <v>599</v>
      </c>
      <c r="E148" s="828"/>
      <c r="F148" s="828"/>
      <c r="G148" s="446" t="s">
        <v>293</v>
      </c>
      <c r="H148" s="830" t="s">
        <v>293</v>
      </c>
      <c r="I148" s="828"/>
      <c r="J148" s="828"/>
      <c r="K148" s="446" t="s">
        <v>316</v>
      </c>
      <c r="L148" s="830" t="s">
        <v>317</v>
      </c>
      <c r="M148" s="828"/>
      <c r="N148" s="446" t="s">
        <v>318</v>
      </c>
      <c r="O148" s="446" t="s">
        <v>293</v>
      </c>
      <c r="P148" s="446" t="s">
        <v>293</v>
      </c>
      <c r="Q148" s="841">
        <v>10.93</v>
      </c>
      <c r="R148" s="828"/>
      <c r="S148" s="841">
        <v>72.87</v>
      </c>
      <c r="T148" s="828"/>
      <c r="U148" s="842">
        <v>17645.73</v>
      </c>
      <c r="V148" s="828"/>
      <c r="W148" s="828"/>
      <c r="X148" s="828"/>
      <c r="Y148" s="828"/>
      <c r="Z148" s="445"/>
      <c r="AA148" s="445"/>
      <c r="AB148" s="445"/>
    </row>
    <row r="149" spans="1:28" ht="18" x14ac:dyDescent="0.25">
      <c r="A149" s="450" t="s">
        <v>455</v>
      </c>
      <c r="B149" s="446" t="s">
        <v>325</v>
      </c>
      <c r="C149" s="450" t="s">
        <v>617</v>
      </c>
      <c r="D149" s="840" t="s">
        <v>601</v>
      </c>
      <c r="E149" s="828"/>
      <c r="F149" s="828"/>
      <c r="G149" s="446" t="s">
        <v>293</v>
      </c>
      <c r="H149" s="830" t="s">
        <v>293</v>
      </c>
      <c r="I149" s="828"/>
      <c r="J149" s="828"/>
      <c r="K149" s="446" t="s">
        <v>316</v>
      </c>
      <c r="L149" s="830" t="s">
        <v>317</v>
      </c>
      <c r="M149" s="828"/>
      <c r="N149" s="446" t="s">
        <v>318</v>
      </c>
      <c r="O149" s="446" t="s">
        <v>293</v>
      </c>
      <c r="P149" s="446" t="s">
        <v>293</v>
      </c>
      <c r="Q149" s="841">
        <v>6.42</v>
      </c>
      <c r="R149" s="828"/>
      <c r="S149" s="841">
        <v>42.78</v>
      </c>
      <c r="T149" s="828"/>
      <c r="U149" s="842">
        <v>17688.509999999998</v>
      </c>
      <c r="V149" s="828"/>
      <c r="W149" s="828"/>
      <c r="X149" s="828"/>
      <c r="Y149" s="828"/>
      <c r="Z149" s="445"/>
      <c r="AA149" s="445"/>
      <c r="AB149" s="445"/>
    </row>
    <row r="150" spans="1:28" ht="18" x14ac:dyDescent="0.25">
      <c r="A150" s="450" t="s">
        <v>455</v>
      </c>
      <c r="B150" s="446" t="s">
        <v>325</v>
      </c>
      <c r="C150" s="450" t="s">
        <v>618</v>
      </c>
      <c r="D150" s="840" t="s">
        <v>599</v>
      </c>
      <c r="E150" s="828"/>
      <c r="F150" s="828"/>
      <c r="G150" s="446" t="s">
        <v>293</v>
      </c>
      <c r="H150" s="830" t="s">
        <v>293</v>
      </c>
      <c r="I150" s="828"/>
      <c r="J150" s="828"/>
      <c r="K150" s="446" t="s">
        <v>316</v>
      </c>
      <c r="L150" s="830" t="s">
        <v>317</v>
      </c>
      <c r="M150" s="828"/>
      <c r="N150" s="446" t="s">
        <v>318</v>
      </c>
      <c r="O150" s="446" t="s">
        <v>293</v>
      </c>
      <c r="P150" s="446" t="s">
        <v>293</v>
      </c>
      <c r="Q150" s="841">
        <v>10.72</v>
      </c>
      <c r="R150" s="828"/>
      <c r="S150" s="841">
        <v>71.48</v>
      </c>
      <c r="T150" s="828"/>
      <c r="U150" s="842">
        <v>17759.990000000002</v>
      </c>
      <c r="V150" s="828"/>
      <c r="W150" s="828"/>
      <c r="X150" s="828"/>
      <c r="Y150" s="828"/>
      <c r="Z150" s="445"/>
      <c r="AA150" s="445"/>
      <c r="AB150" s="445"/>
    </row>
    <row r="151" spans="1:28" ht="18" x14ac:dyDescent="0.25">
      <c r="A151" s="450" t="s">
        <v>455</v>
      </c>
      <c r="B151" s="446" t="s">
        <v>325</v>
      </c>
      <c r="C151" s="450" t="s">
        <v>619</v>
      </c>
      <c r="D151" s="840" t="s">
        <v>601</v>
      </c>
      <c r="E151" s="828"/>
      <c r="F151" s="828"/>
      <c r="G151" s="446" t="s">
        <v>293</v>
      </c>
      <c r="H151" s="830" t="s">
        <v>293</v>
      </c>
      <c r="I151" s="828"/>
      <c r="J151" s="828"/>
      <c r="K151" s="446" t="s">
        <v>316</v>
      </c>
      <c r="L151" s="830" t="s">
        <v>317</v>
      </c>
      <c r="M151" s="828"/>
      <c r="N151" s="446" t="s">
        <v>318</v>
      </c>
      <c r="O151" s="446" t="s">
        <v>293</v>
      </c>
      <c r="P151" s="446" t="s">
        <v>293</v>
      </c>
      <c r="Q151" s="841">
        <v>8.07</v>
      </c>
      <c r="R151" s="828"/>
      <c r="S151" s="841">
        <v>53.83</v>
      </c>
      <c r="T151" s="828"/>
      <c r="U151" s="842">
        <v>17813.82</v>
      </c>
      <c r="V151" s="828"/>
      <c r="W151" s="828"/>
      <c r="X151" s="828"/>
      <c r="Y151" s="828"/>
      <c r="Z151" s="445"/>
      <c r="AA151" s="445"/>
      <c r="AB151" s="445"/>
    </row>
    <row r="152" spans="1:28" ht="18" x14ac:dyDescent="0.25">
      <c r="A152" s="450" t="s">
        <v>620</v>
      </c>
      <c r="B152" s="446" t="s">
        <v>325</v>
      </c>
      <c r="C152" s="450" t="s">
        <v>621</v>
      </c>
      <c r="D152" s="840" t="s">
        <v>609</v>
      </c>
      <c r="E152" s="828"/>
      <c r="F152" s="828"/>
      <c r="G152" s="446" t="s">
        <v>293</v>
      </c>
      <c r="H152" s="830" t="s">
        <v>293</v>
      </c>
      <c r="I152" s="828"/>
      <c r="J152" s="828"/>
      <c r="K152" s="446" t="s">
        <v>316</v>
      </c>
      <c r="L152" s="830" t="s">
        <v>317</v>
      </c>
      <c r="M152" s="828"/>
      <c r="N152" s="446" t="s">
        <v>318</v>
      </c>
      <c r="O152" s="446" t="s">
        <v>293</v>
      </c>
      <c r="P152" s="446" t="s">
        <v>293</v>
      </c>
      <c r="Q152" s="841">
        <v>6.72</v>
      </c>
      <c r="R152" s="828"/>
      <c r="S152" s="841">
        <v>44.81</v>
      </c>
      <c r="T152" s="828"/>
      <c r="U152" s="842">
        <v>17858.63</v>
      </c>
      <c r="V152" s="828"/>
      <c r="W152" s="828"/>
      <c r="X152" s="828"/>
      <c r="Y152" s="828"/>
      <c r="Z152" s="445"/>
      <c r="AA152" s="445"/>
      <c r="AB152" s="445"/>
    </row>
    <row r="153" spans="1:28" ht="18" x14ac:dyDescent="0.25">
      <c r="A153" s="450" t="s">
        <v>549</v>
      </c>
      <c r="B153" s="446" t="s">
        <v>325</v>
      </c>
      <c r="C153" s="450" t="s">
        <v>622</v>
      </c>
      <c r="D153" s="840" t="s">
        <v>623</v>
      </c>
      <c r="E153" s="828"/>
      <c r="F153" s="828"/>
      <c r="G153" s="446" t="s">
        <v>293</v>
      </c>
      <c r="H153" s="830" t="s">
        <v>293</v>
      </c>
      <c r="I153" s="828"/>
      <c r="J153" s="828"/>
      <c r="K153" s="446" t="s">
        <v>316</v>
      </c>
      <c r="L153" s="830" t="s">
        <v>317</v>
      </c>
      <c r="M153" s="828"/>
      <c r="N153" s="446" t="s">
        <v>318</v>
      </c>
      <c r="O153" s="446" t="s">
        <v>293</v>
      </c>
      <c r="P153" s="446" t="s">
        <v>293</v>
      </c>
      <c r="Q153" s="841">
        <v>6.38</v>
      </c>
      <c r="R153" s="828"/>
      <c r="S153" s="841">
        <v>42.52</v>
      </c>
      <c r="T153" s="828"/>
      <c r="U153" s="842">
        <v>17901.150000000001</v>
      </c>
      <c r="V153" s="828"/>
      <c r="W153" s="828"/>
      <c r="X153" s="828"/>
      <c r="Y153" s="828"/>
      <c r="Z153" s="445"/>
      <c r="AA153" s="445"/>
      <c r="AB153" s="445"/>
    </row>
    <row r="154" spans="1:28" ht="18" x14ac:dyDescent="0.25">
      <c r="A154" s="450" t="s">
        <v>553</v>
      </c>
      <c r="B154" s="446" t="s">
        <v>325</v>
      </c>
      <c r="C154" s="450" t="s">
        <v>624</v>
      </c>
      <c r="D154" s="840" t="s">
        <v>609</v>
      </c>
      <c r="E154" s="828"/>
      <c r="F154" s="828"/>
      <c r="G154" s="446" t="s">
        <v>293</v>
      </c>
      <c r="H154" s="830" t="s">
        <v>293</v>
      </c>
      <c r="I154" s="828"/>
      <c r="J154" s="828"/>
      <c r="K154" s="446" t="s">
        <v>316</v>
      </c>
      <c r="L154" s="830" t="s">
        <v>317</v>
      </c>
      <c r="M154" s="828"/>
      <c r="N154" s="446" t="s">
        <v>318</v>
      </c>
      <c r="O154" s="446" t="s">
        <v>293</v>
      </c>
      <c r="P154" s="446" t="s">
        <v>293</v>
      </c>
      <c r="Q154" s="841">
        <v>4.75</v>
      </c>
      <c r="R154" s="828"/>
      <c r="S154" s="841">
        <v>31.68</v>
      </c>
      <c r="T154" s="828"/>
      <c r="U154" s="842">
        <v>17932.830000000002</v>
      </c>
      <c r="V154" s="828"/>
      <c r="W154" s="828"/>
      <c r="X154" s="828"/>
      <c r="Y154" s="828"/>
      <c r="Z154" s="445"/>
      <c r="AA154" s="445"/>
      <c r="AB154" s="445"/>
    </row>
    <row r="155" spans="1:28" ht="18" x14ac:dyDescent="0.25">
      <c r="A155" s="450" t="s">
        <v>553</v>
      </c>
      <c r="B155" s="446" t="s">
        <v>325</v>
      </c>
      <c r="C155" s="450" t="s">
        <v>625</v>
      </c>
      <c r="D155" s="840" t="s">
        <v>601</v>
      </c>
      <c r="E155" s="828"/>
      <c r="F155" s="828"/>
      <c r="G155" s="446" t="s">
        <v>293</v>
      </c>
      <c r="H155" s="830" t="s">
        <v>293</v>
      </c>
      <c r="I155" s="828"/>
      <c r="J155" s="828"/>
      <c r="K155" s="446" t="s">
        <v>316</v>
      </c>
      <c r="L155" s="830" t="s">
        <v>317</v>
      </c>
      <c r="M155" s="828"/>
      <c r="N155" s="446" t="s">
        <v>318</v>
      </c>
      <c r="O155" s="446" t="s">
        <v>293</v>
      </c>
      <c r="P155" s="446" t="s">
        <v>293</v>
      </c>
      <c r="Q155" s="841">
        <v>7.54</v>
      </c>
      <c r="R155" s="828"/>
      <c r="S155" s="841">
        <v>50.26</v>
      </c>
      <c r="T155" s="828"/>
      <c r="U155" s="842">
        <v>17983.09</v>
      </c>
      <c r="V155" s="828"/>
      <c r="W155" s="828"/>
      <c r="X155" s="828"/>
      <c r="Y155" s="828"/>
      <c r="Z155" s="445"/>
      <c r="AA155" s="445"/>
      <c r="AB155" s="445"/>
    </row>
    <row r="156" spans="1:28" s="491" customFormat="1" ht="18" x14ac:dyDescent="0.25">
      <c r="A156" s="451" t="s">
        <v>467</v>
      </c>
      <c r="B156" s="452" t="s">
        <v>325</v>
      </c>
      <c r="C156" s="451" t="s">
        <v>626</v>
      </c>
      <c r="D156" s="844" t="s">
        <v>627</v>
      </c>
      <c r="E156" s="845"/>
      <c r="F156" s="845"/>
      <c r="G156" s="452" t="s">
        <v>293</v>
      </c>
      <c r="H156" s="846" t="s">
        <v>293</v>
      </c>
      <c r="I156" s="845"/>
      <c r="J156" s="845"/>
      <c r="K156" s="452" t="s">
        <v>316</v>
      </c>
      <c r="L156" s="846" t="s">
        <v>317</v>
      </c>
      <c r="M156" s="845"/>
      <c r="N156" s="452" t="s">
        <v>318</v>
      </c>
      <c r="O156" s="452" t="s">
        <v>293</v>
      </c>
      <c r="P156" s="452" t="s">
        <v>293</v>
      </c>
      <c r="Q156" s="847">
        <v>6.14</v>
      </c>
      <c r="R156" s="845"/>
      <c r="S156" s="847">
        <v>40.96</v>
      </c>
      <c r="T156" s="845"/>
      <c r="U156" s="848">
        <v>18024.05</v>
      </c>
      <c r="V156" s="845"/>
      <c r="W156" s="845"/>
      <c r="X156" s="845"/>
      <c r="Y156" s="845"/>
      <c r="Z156" s="453"/>
      <c r="AA156" s="453"/>
      <c r="AB156" s="453" t="s">
        <v>577</v>
      </c>
    </row>
    <row r="157" spans="1:28" ht="18" x14ac:dyDescent="0.25">
      <c r="A157" s="450" t="s">
        <v>467</v>
      </c>
      <c r="B157" s="446" t="s">
        <v>325</v>
      </c>
      <c r="C157" s="450" t="s">
        <v>628</v>
      </c>
      <c r="D157" s="840" t="s">
        <v>601</v>
      </c>
      <c r="E157" s="828"/>
      <c r="F157" s="828"/>
      <c r="G157" s="446" t="s">
        <v>293</v>
      </c>
      <c r="H157" s="830" t="s">
        <v>293</v>
      </c>
      <c r="I157" s="828"/>
      <c r="J157" s="828"/>
      <c r="K157" s="446" t="s">
        <v>316</v>
      </c>
      <c r="L157" s="830" t="s">
        <v>317</v>
      </c>
      <c r="M157" s="828"/>
      <c r="N157" s="446" t="s">
        <v>318</v>
      </c>
      <c r="O157" s="446" t="s">
        <v>293</v>
      </c>
      <c r="P157" s="446" t="s">
        <v>293</v>
      </c>
      <c r="Q157" s="841">
        <v>9.31</v>
      </c>
      <c r="R157" s="828"/>
      <c r="S157" s="841">
        <v>62.09</v>
      </c>
      <c r="T157" s="828"/>
      <c r="U157" s="842">
        <v>18086.14</v>
      </c>
      <c r="V157" s="828"/>
      <c r="W157" s="828"/>
      <c r="X157" s="828"/>
      <c r="Y157" s="828"/>
      <c r="Z157" s="445"/>
      <c r="AA157" s="445"/>
      <c r="AB157" s="445"/>
    </row>
    <row r="158" spans="1:28" ht="18" x14ac:dyDescent="0.25">
      <c r="A158" s="450" t="s">
        <v>467</v>
      </c>
      <c r="B158" s="446" t="s">
        <v>325</v>
      </c>
      <c r="C158" s="450" t="s">
        <v>629</v>
      </c>
      <c r="D158" s="840" t="s">
        <v>601</v>
      </c>
      <c r="E158" s="828"/>
      <c r="F158" s="828"/>
      <c r="G158" s="446" t="s">
        <v>293</v>
      </c>
      <c r="H158" s="830" t="s">
        <v>293</v>
      </c>
      <c r="I158" s="828"/>
      <c r="J158" s="828"/>
      <c r="K158" s="446" t="s">
        <v>316</v>
      </c>
      <c r="L158" s="830" t="s">
        <v>317</v>
      </c>
      <c r="M158" s="828"/>
      <c r="N158" s="446" t="s">
        <v>318</v>
      </c>
      <c r="O158" s="446" t="s">
        <v>293</v>
      </c>
      <c r="P158" s="446" t="s">
        <v>293</v>
      </c>
      <c r="Q158" s="841">
        <v>13.3</v>
      </c>
      <c r="R158" s="828"/>
      <c r="S158" s="841">
        <v>88.7</v>
      </c>
      <c r="T158" s="828"/>
      <c r="U158" s="842">
        <v>18174.84</v>
      </c>
      <c r="V158" s="828"/>
      <c r="W158" s="828"/>
      <c r="X158" s="828"/>
      <c r="Y158" s="828"/>
      <c r="Z158" s="445"/>
      <c r="AA158" s="445"/>
      <c r="AB158" s="445"/>
    </row>
    <row r="159" spans="1:28" ht="18" x14ac:dyDescent="0.25">
      <c r="A159" s="450" t="s">
        <v>467</v>
      </c>
      <c r="B159" s="446" t="s">
        <v>325</v>
      </c>
      <c r="C159" s="450" t="s">
        <v>630</v>
      </c>
      <c r="D159" s="840" t="s">
        <v>601</v>
      </c>
      <c r="E159" s="828"/>
      <c r="F159" s="828"/>
      <c r="G159" s="446" t="s">
        <v>293</v>
      </c>
      <c r="H159" s="830" t="s">
        <v>293</v>
      </c>
      <c r="I159" s="828"/>
      <c r="J159" s="828"/>
      <c r="K159" s="446" t="s">
        <v>316</v>
      </c>
      <c r="L159" s="830" t="s">
        <v>317</v>
      </c>
      <c r="M159" s="828"/>
      <c r="N159" s="446" t="s">
        <v>318</v>
      </c>
      <c r="O159" s="446" t="s">
        <v>293</v>
      </c>
      <c r="P159" s="446" t="s">
        <v>293</v>
      </c>
      <c r="Q159" s="841">
        <v>5.97</v>
      </c>
      <c r="R159" s="828"/>
      <c r="S159" s="841">
        <v>39.83</v>
      </c>
      <c r="T159" s="828"/>
      <c r="U159" s="842">
        <v>18214.669999999998</v>
      </c>
      <c r="V159" s="828"/>
      <c r="W159" s="828"/>
      <c r="X159" s="828"/>
      <c r="Y159" s="828"/>
      <c r="Z159" s="445"/>
      <c r="AA159" s="445"/>
      <c r="AB159" s="445"/>
    </row>
    <row r="160" spans="1:28" ht="18" x14ac:dyDescent="0.25">
      <c r="A160" s="450" t="s">
        <v>467</v>
      </c>
      <c r="B160" s="446" t="s">
        <v>325</v>
      </c>
      <c r="C160" s="450" t="s">
        <v>631</v>
      </c>
      <c r="D160" s="840" t="s">
        <v>609</v>
      </c>
      <c r="E160" s="828"/>
      <c r="F160" s="828"/>
      <c r="G160" s="446" t="s">
        <v>293</v>
      </c>
      <c r="H160" s="830" t="s">
        <v>293</v>
      </c>
      <c r="I160" s="828"/>
      <c r="J160" s="828"/>
      <c r="K160" s="446" t="s">
        <v>316</v>
      </c>
      <c r="L160" s="830" t="s">
        <v>317</v>
      </c>
      <c r="M160" s="828"/>
      <c r="N160" s="446" t="s">
        <v>318</v>
      </c>
      <c r="O160" s="446" t="s">
        <v>293</v>
      </c>
      <c r="P160" s="446" t="s">
        <v>293</v>
      </c>
      <c r="Q160" s="841">
        <v>6.21</v>
      </c>
      <c r="R160" s="828"/>
      <c r="S160" s="841">
        <v>41.43</v>
      </c>
      <c r="T160" s="828"/>
      <c r="U160" s="842">
        <v>18256.099999999999</v>
      </c>
      <c r="V160" s="828"/>
      <c r="W160" s="828"/>
      <c r="X160" s="828"/>
      <c r="Y160" s="828"/>
      <c r="Z160" s="445"/>
      <c r="AA160" s="445"/>
      <c r="AB160" s="445"/>
    </row>
    <row r="161" spans="1:28" ht="18" x14ac:dyDescent="0.25">
      <c r="A161" s="450" t="s">
        <v>467</v>
      </c>
      <c r="B161" s="446" t="s">
        <v>325</v>
      </c>
      <c r="C161" s="450" t="s">
        <v>632</v>
      </c>
      <c r="D161" s="840" t="s">
        <v>609</v>
      </c>
      <c r="E161" s="828"/>
      <c r="F161" s="828"/>
      <c r="G161" s="446" t="s">
        <v>293</v>
      </c>
      <c r="H161" s="830" t="s">
        <v>293</v>
      </c>
      <c r="I161" s="828"/>
      <c r="J161" s="828"/>
      <c r="K161" s="446" t="s">
        <v>316</v>
      </c>
      <c r="L161" s="830" t="s">
        <v>317</v>
      </c>
      <c r="M161" s="828"/>
      <c r="N161" s="446" t="s">
        <v>318</v>
      </c>
      <c r="O161" s="446" t="s">
        <v>293</v>
      </c>
      <c r="P161" s="446" t="s">
        <v>293</v>
      </c>
      <c r="Q161" s="841">
        <v>4.62</v>
      </c>
      <c r="R161" s="828"/>
      <c r="S161" s="841">
        <v>30.8</v>
      </c>
      <c r="T161" s="828"/>
      <c r="U161" s="842">
        <v>18286.900000000001</v>
      </c>
      <c r="V161" s="828"/>
      <c r="W161" s="828"/>
      <c r="X161" s="828"/>
      <c r="Y161" s="828"/>
      <c r="Z161" s="445"/>
      <c r="AA161" s="445"/>
      <c r="AB161" s="445"/>
    </row>
    <row r="162" spans="1:28" ht="18" x14ac:dyDescent="0.25">
      <c r="A162" s="450" t="s">
        <v>633</v>
      </c>
      <c r="B162" s="446" t="s">
        <v>325</v>
      </c>
      <c r="C162" s="450" t="s">
        <v>634</v>
      </c>
      <c r="D162" s="840" t="s">
        <v>609</v>
      </c>
      <c r="E162" s="828"/>
      <c r="F162" s="828"/>
      <c r="G162" s="446" t="s">
        <v>293</v>
      </c>
      <c r="H162" s="830" t="s">
        <v>293</v>
      </c>
      <c r="I162" s="828"/>
      <c r="J162" s="828"/>
      <c r="K162" s="446" t="s">
        <v>316</v>
      </c>
      <c r="L162" s="830" t="s">
        <v>317</v>
      </c>
      <c r="M162" s="828"/>
      <c r="N162" s="446" t="s">
        <v>318</v>
      </c>
      <c r="O162" s="446" t="s">
        <v>293</v>
      </c>
      <c r="P162" s="446" t="s">
        <v>293</v>
      </c>
      <c r="Q162" s="841">
        <v>-2.02</v>
      </c>
      <c r="R162" s="828"/>
      <c r="S162" s="841">
        <v>-13.44</v>
      </c>
      <c r="T162" s="828"/>
      <c r="U162" s="842">
        <v>18273.46</v>
      </c>
      <c r="V162" s="828"/>
      <c r="W162" s="828"/>
      <c r="X162" s="828"/>
      <c r="Y162" s="828"/>
      <c r="Z162" s="445"/>
      <c r="AA162" s="445"/>
      <c r="AB162" s="445"/>
    </row>
    <row r="163" spans="1:28" ht="18" x14ac:dyDescent="0.25">
      <c r="A163" s="450" t="s">
        <v>633</v>
      </c>
      <c r="B163" s="446" t="s">
        <v>325</v>
      </c>
      <c r="C163" s="450" t="s">
        <v>635</v>
      </c>
      <c r="D163" s="840" t="s">
        <v>609</v>
      </c>
      <c r="E163" s="828"/>
      <c r="F163" s="828"/>
      <c r="G163" s="446" t="s">
        <v>293</v>
      </c>
      <c r="H163" s="830" t="s">
        <v>293</v>
      </c>
      <c r="I163" s="828"/>
      <c r="J163" s="828"/>
      <c r="K163" s="446" t="s">
        <v>316</v>
      </c>
      <c r="L163" s="830" t="s">
        <v>317</v>
      </c>
      <c r="M163" s="828"/>
      <c r="N163" s="446" t="s">
        <v>318</v>
      </c>
      <c r="O163" s="446" t="s">
        <v>293</v>
      </c>
      <c r="P163" s="446" t="s">
        <v>293</v>
      </c>
      <c r="Q163" s="841">
        <v>2.02</v>
      </c>
      <c r="R163" s="828"/>
      <c r="S163" s="841">
        <v>13.44</v>
      </c>
      <c r="T163" s="828"/>
      <c r="U163" s="842">
        <v>18286.900000000001</v>
      </c>
      <c r="V163" s="828"/>
      <c r="W163" s="828"/>
      <c r="X163" s="828"/>
      <c r="Y163" s="828"/>
      <c r="Z163" s="445"/>
      <c r="AA163" s="445"/>
      <c r="AB163" s="445"/>
    </row>
    <row r="164" spans="1:28" s="491" customFormat="1" ht="18" x14ac:dyDescent="0.25">
      <c r="A164" s="451" t="s">
        <v>578</v>
      </c>
      <c r="B164" s="452" t="s">
        <v>325</v>
      </c>
      <c r="C164" s="451" t="s">
        <v>636</v>
      </c>
      <c r="D164" s="844" t="s">
        <v>637</v>
      </c>
      <c r="E164" s="845"/>
      <c r="F164" s="845"/>
      <c r="G164" s="452" t="s">
        <v>293</v>
      </c>
      <c r="H164" s="846" t="s">
        <v>293</v>
      </c>
      <c r="I164" s="845"/>
      <c r="J164" s="845"/>
      <c r="K164" s="452" t="s">
        <v>316</v>
      </c>
      <c r="L164" s="846" t="s">
        <v>317</v>
      </c>
      <c r="M164" s="845"/>
      <c r="N164" s="452" t="s">
        <v>318</v>
      </c>
      <c r="O164" s="452" t="s">
        <v>293</v>
      </c>
      <c r="P164" s="452" t="s">
        <v>293</v>
      </c>
      <c r="Q164" s="847">
        <v>6.08</v>
      </c>
      <c r="R164" s="845"/>
      <c r="S164" s="847">
        <v>40.520000000000003</v>
      </c>
      <c r="T164" s="845"/>
      <c r="U164" s="848">
        <v>18327.419999999998</v>
      </c>
      <c r="V164" s="845"/>
      <c r="W164" s="845"/>
      <c r="X164" s="845"/>
      <c r="Y164" s="845"/>
      <c r="Z164" s="453"/>
      <c r="AA164" s="453"/>
      <c r="AB164" s="453" t="s">
        <v>563</v>
      </c>
    </row>
    <row r="165" spans="1:28" s="491" customFormat="1" ht="18" x14ac:dyDescent="0.25">
      <c r="A165" s="451" t="s">
        <v>581</v>
      </c>
      <c r="B165" s="452" t="s">
        <v>325</v>
      </c>
      <c r="C165" s="451" t="s">
        <v>638</v>
      </c>
      <c r="D165" s="844" t="s">
        <v>639</v>
      </c>
      <c r="E165" s="845"/>
      <c r="F165" s="845"/>
      <c r="G165" s="452" t="s">
        <v>293</v>
      </c>
      <c r="H165" s="846" t="s">
        <v>293</v>
      </c>
      <c r="I165" s="845"/>
      <c r="J165" s="845"/>
      <c r="K165" s="452" t="s">
        <v>316</v>
      </c>
      <c r="L165" s="846" t="s">
        <v>317</v>
      </c>
      <c r="M165" s="845"/>
      <c r="N165" s="452" t="s">
        <v>318</v>
      </c>
      <c r="O165" s="452" t="s">
        <v>293</v>
      </c>
      <c r="P165" s="452" t="s">
        <v>293</v>
      </c>
      <c r="Q165" s="847">
        <v>4.75</v>
      </c>
      <c r="R165" s="845"/>
      <c r="S165" s="847">
        <v>31.65</v>
      </c>
      <c r="T165" s="845"/>
      <c r="U165" s="848">
        <v>18359.07</v>
      </c>
      <c r="V165" s="845"/>
      <c r="W165" s="845"/>
      <c r="X165" s="845"/>
      <c r="Y165" s="845"/>
      <c r="Z165" s="453"/>
      <c r="AA165" s="453"/>
      <c r="AB165" s="453" t="s">
        <v>563</v>
      </c>
    </row>
    <row r="166" spans="1:28" ht="18" x14ac:dyDescent="0.25">
      <c r="A166" s="450" t="s">
        <v>581</v>
      </c>
      <c r="B166" s="446" t="s">
        <v>325</v>
      </c>
      <c r="C166" s="450" t="s">
        <v>640</v>
      </c>
      <c r="D166" s="840" t="s">
        <v>609</v>
      </c>
      <c r="E166" s="828"/>
      <c r="F166" s="828"/>
      <c r="G166" s="446" t="s">
        <v>293</v>
      </c>
      <c r="H166" s="830" t="s">
        <v>293</v>
      </c>
      <c r="I166" s="828"/>
      <c r="J166" s="828"/>
      <c r="K166" s="446" t="s">
        <v>316</v>
      </c>
      <c r="L166" s="830" t="s">
        <v>317</v>
      </c>
      <c r="M166" s="828"/>
      <c r="N166" s="446" t="s">
        <v>318</v>
      </c>
      <c r="O166" s="446" t="s">
        <v>293</v>
      </c>
      <c r="P166" s="446" t="s">
        <v>293</v>
      </c>
      <c r="Q166" s="841">
        <v>10.32</v>
      </c>
      <c r="R166" s="828"/>
      <c r="S166" s="841">
        <v>68.819999999999993</v>
      </c>
      <c r="T166" s="828"/>
      <c r="U166" s="842">
        <v>18427.89</v>
      </c>
      <c r="V166" s="828"/>
      <c r="W166" s="828"/>
      <c r="X166" s="828"/>
      <c r="Y166" s="828"/>
      <c r="Z166" s="445"/>
      <c r="AA166" s="445"/>
      <c r="AB166" s="445"/>
    </row>
    <row r="167" spans="1:28" ht="18" x14ac:dyDescent="0.25">
      <c r="A167" s="450" t="s">
        <v>584</v>
      </c>
      <c r="B167" s="446" t="s">
        <v>325</v>
      </c>
      <c r="C167" s="450" t="s">
        <v>641</v>
      </c>
      <c r="D167" s="840" t="s">
        <v>601</v>
      </c>
      <c r="E167" s="828"/>
      <c r="F167" s="828"/>
      <c r="G167" s="446" t="s">
        <v>293</v>
      </c>
      <c r="H167" s="830" t="s">
        <v>293</v>
      </c>
      <c r="I167" s="828"/>
      <c r="J167" s="828"/>
      <c r="K167" s="446" t="s">
        <v>316</v>
      </c>
      <c r="L167" s="830" t="s">
        <v>317</v>
      </c>
      <c r="M167" s="828"/>
      <c r="N167" s="446" t="s">
        <v>318</v>
      </c>
      <c r="O167" s="446" t="s">
        <v>293</v>
      </c>
      <c r="P167" s="446" t="s">
        <v>293</v>
      </c>
      <c r="Q167" s="841">
        <v>6.77</v>
      </c>
      <c r="R167" s="828"/>
      <c r="S167" s="841">
        <v>45.13</v>
      </c>
      <c r="T167" s="828"/>
      <c r="U167" s="842">
        <v>18473.02</v>
      </c>
      <c r="V167" s="828"/>
      <c r="W167" s="828"/>
      <c r="X167" s="828"/>
      <c r="Y167" s="828"/>
      <c r="Z167" s="445"/>
      <c r="AA167" s="445"/>
      <c r="AB167" s="445"/>
    </row>
    <row r="168" spans="1:28" ht="18" x14ac:dyDescent="0.25">
      <c r="A168" s="450" t="s">
        <v>642</v>
      </c>
      <c r="B168" s="446" t="s">
        <v>325</v>
      </c>
      <c r="C168" s="450" t="s">
        <v>643</v>
      </c>
      <c r="D168" s="840" t="s">
        <v>601</v>
      </c>
      <c r="E168" s="828"/>
      <c r="F168" s="828"/>
      <c r="G168" s="446" t="s">
        <v>293</v>
      </c>
      <c r="H168" s="830" t="s">
        <v>293</v>
      </c>
      <c r="I168" s="828"/>
      <c r="J168" s="828"/>
      <c r="K168" s="446" t="s">
        <v>316</v>
      </c>
      <c r="L168" s="830" t="s">
        <v>317</v>
      </c>
      <c r="M168" s="828"/>
      <c r="N168" s="446" t="s">
        <v>318</v>
      </c>
      <c r="O168" s="446" t="s">
        <v>293</v>
      </c>
      <c r="P168" s="446" t="s">
        <v>293</v>
      </c>
      <c r="Q168" s="841">
        <v>5.36</v>
      </c>
      <c r="R168" s="828"/>
      <c r="S168" s="841">
        <v>35.74</v>
      </c>
      <c r="T168" s="828"/>
      <c r="U168" s="842">
        <v>18508.759999999998</v>
      </c>
      <c r="V168" s="828"/>
      <c r="W168" s="828"/>
      <c r="X168" s="828"/>
      <c r="Y168" s="828"/>
      <c r="Z168" s="445"/>
      <c r="AA168" s="445"/>
      <c r="AB168" s="445"/>
    </row>
    <row r="169" spans="1:28" ht="18" x14ac:dyDescent="0.25">
      <c r="A169" s="450" t="s">
        <v>642</v>
      </c>
      <c r="B169" s="446" t="s">
        <v>325</v>
      </c>
      <c r="C169" s="450" t="s">
        <v>644</v>
      </c>
      <c r="D169" s="840" t="s">
        <v>609</v>
      </c>
      <c r="E169" s="828"/>
      <c r="F169" s="828"/>
      <c r="G169" s="446" t="s">
        <v>293</v>
      </c>
      <c r="H169" s="830" t="s">
        <v>293</v>
      </c>
      <c r="I169" s="828"/>
      <c r="J169" s="828"/>
      <c r="K169" s="446" t="s">
        <v>316</v>
      </c>
      <c r="L169" s="830" t="s">
        <v>317</v>
      </c>
      <c r="M169" s="828"/>
      <c r="N169" s="446" t="s">
        <v>318</v>
      </c>
      <c r="O169" s="446" t="s">
        <v>293</v>
      </c>
      <c r="P169" s="446" t="s">
        <v>293</v>
      </c>
      <c r="Q169" s="841">
        <v>6.77</v>
      </c>
      <c r="R169" s="828"/>
      <c r="S169" s="841">
        <v>45.1</v>
      </c>
      <c r="T169" s="828"/>
      <c r="U169" s="842">
        <v>18553.86</v>
      </c>
      <c r="V169" s="828"/>
      <c r="W169" s="828"/>
      <c r="X169" s="828"/>
      <c r="Y169" s="828"/>
      <c r="Z169" s="445"/>
      <c r="AA169" s="445"/>
      <c r="AB169" s="445"/>
    </row>
    <row r="170" spans="1:28" ht="18" x14ac:dyDescent="0.25">
      <c r="A170" s="450" t="s">
        <v>478</v>
      </c>
      <c r="B170" s="446" t="s">
        <v>325</v>
      </c>
      <c r="C170" s="450" t="s">
        <v>645</v>
      </c>
      <c r="D170" s="840" t="s">
        <v>646</v>
      </c>
      <c r="E170" s="828"/>
      <c r="F170" s="828"/>
      <c r="G170" s="446" t="s">
        <v>293</v>
      </c>
      <c r="H170" s="830" t="s">
        <v>293</v>
      </c>
      <c r="I170" s="828"/>
      <c r="J170" s="828"/>
      <c r="K170" s="446" t="s">
        <v>316</v>
      </c>
      <c r="L170" s="830" t="s">
        <v>317</v>
      </c>
      <c r="M170" s="828"/>
      <c r="N170" s="446" t="s">
        <v>318</v>
      </c>
      <c r="O170" s="446" t="s">
        <v>293</v>
      </c>
      <c r="P170" s="446" t="s">
        <v>293</v>
      </c>
      <c r="Q170" s="841">
        <v>-1.52</v>
      </c>
      <c r="R170" s="828"/>
      <c r="S170" s="841">
        <v>-10.11</v>
      </c>
      <c r="T170" s="828"/>
      <c r="U170" s="842">
        <v>18543.75</v>
      </c>
      <c r="V170" s="828"/>
      <c r="W170" s="828"/>
      <c r="X170" s="828"/>
      <c r="Y170" s="828"/>
      <c r="Z170" s="445"/>
      <c r="AA170" s="445"/>
      <c r="AB170" s="445"/>
    </row>
    <row r="171" spans="1:28" ht="18" x14ac:dyDescent="0.25">
      <c r="A171" s="450" t="s">
        <v>478</v>
      </c>
      <c r="B171" s="446" t="s">
        <v>325</v>
      </c>
      <c r="C171" s="450" t="s">
        <v>647</v>
      </c>
      <c r="D171" s="840" t="s">
        <v>646</v>
      </c>
      <c r="E171" s="828"/>
      <c r="F171" s="828"/>
      <c r="G171" s="446" t="s">
        <v>293</v>
      </c>
      <c r="H171" s="830" t="s">
        <v>293</v>
      </c>
      <c r="I171" s="828"/>
      <c r="J171" s="828"/>
      <c r="K171" s="446" t="s">
        <v>316</v>
      </c>
      <c r="L171" s="830" t="s">
        <v>317</v>
      </c>
      <c r="M171" s="828"/>
      <c r="N171" s="446" t="s">
        <v>318</v>
      </c>
      <c r="O171" s="446" t="s">
        <v>293</v>
      </c>
      <c r="P171" s="446" t="s">
        <v>293</v>
      </c>
      <c r="Q171" s="841">
        <v>1.52</v>
      </c>
      <c r="R171" s="828"/>
      <c r="S171" s="841">
        <v>10.11</v>
      </c>
      <c r="T171" s="828"/>
      <c r="U171" s="842">
        <v>18553.86</v>
      </c>
      <c r="V171" s="828"/>
      <c r="W171" s="828"/>
      <c r="X171" s="828"/>
      <c r="Y171" s="828"/>
      <c r="Z171" s="445"/>
      <c r="AA171" s="445"/>
      <c r="AB171" s="445"/>
    </row>
    <row r="172" spans="1:28" x14ac:dyDescent="0.25">
      <c r="A172" s="831" t="s">
        <v>293</v>
      </c>
      <c r="B172" s="828"/>
      <c r="C172" s="828"/>
      <c r="D172" s="828"/>
      <c r="E172" s="831" t="s">
        <v>399</v>
      </c>
      <c r="F172" s="828"/>
      <c r="G172" s="828"/>
      <c r="H172" s="831" t="s">
        <v>293</v>
      </c>
      <c r="I172" s="828"/>
      <c r="J172" s="828"/>
      <c r="K172" s="828"/>
      <c r="L172" s="828"/>
      <c r="M172" s="828"/>
      <c r="N172" s="449" t="s">
        <v>293</v>
      </c>
      <c r="O172" s="449" t="s">
        <v>293</v>
      </c>
      <c r="P172" s="449" t="s">
        <v>293</v>
      </c>
      <c r="Q172" s="843">
        <v>189.29</v>
      </c>
      <c r="R172" s="828"/>
      <c r="S172" s="843">
        <v>1262.1400000000001</v>
      </c>
      <c r="T172" s="828"/>
      <c r="U172" s="843">
        <v>18553.86</v>
      </c>
      <c r="V172" s="828"/>
      <c r="W172" s="828"/>
      <c r="X172" s="828"/>
      <c r="Y172" s="828"/>
      <c r="Z172" s="445"/>
      <c r="AA172" s="445"/>
      <c r="AB172" s="445"/>
    </row>
    <row r="173" spans="1:28" ht="24" customHeight="1" x14ac:dyDescent="0.25">
      <c r="A173" s="833" t="s">
        <v>293</v>
      </c>
      <c r="B173" s="828"/>
      <c r="C173" s="828"/>
      <c r="D173" s="828"/>
      <c r="E173" s="828"/>
      <c r="F173" s="828"/>
      <c r="G173" s="828"/>
      <c r="H173" s="828"/>
      <c r="I173" s="828"/>
      <c r="J173" s="828"/>
      <c r="K173" s="828"/>
      <c r="L173" s="828"/>
      <c r="M173" s="828"/>
      <c r="N173" s="828"/>
      <c r="O173" s="828"/>
      <c r="P173" s="828"/>
      <c r="Q173" s="828"/>
      <c r="R173" s="828"/>
      <c r="S173" s="828"/>
      <c r="T173" s="828"/>
      <c r="U173" s="828"/>
      <c r="V173" s="828"/>
      <c r="W173" s="828"/>
      <c r="X173" s="828"/>
      <c r="Y173" s="828"/>
      <c r="Z173" s="445"/>
      <c r="AA173" s="445"/>
      <c r="AB173" s="445"/>
    </row>
    <row r="174" spans="1:28" ht="12" customHeight="1" x14ac:dyDescent="0.25">
      <c r="A174" s="831" t="s">
        <v>307</v>
      </c>
      <c r="B174" s="828"/>
      <c r="C174" s="449" t="s">
        <v>293</v>
      </c>
      <c r="D174" s="449" t="s">
        <v>414</v>
      </c>
      <c r="E174" s="831" t="s">
        <v>415</v>
      </c>
      <c r="F174" s="828"/>
      <c r="G174" s="828"/>
      <c r="H174" s="831" t="s">
        <v>293</v>
      </c>
      <c r="I174" s="828"/>
      <c r="J174" s="828"/>
      <c r="K174" s="828"/>
      <c r="L174" s="828"/>
      <c r="M174" s="828"/>
      <c r="N174" s="828"/>
      <c r="O174" s="828"/>
      <c r="P174" s="828"/>
      <c r="Q174" s="828"/>
      <c r="R174" s="828"/>
      <c r="S174" s="828"/>
      <c r="T174" s="828"/>
      <c r="U174" s="843">
        <v>5704.71</v>
      </c>
      <c r="V174" s="828"/>
      <c r="W174" s="828"/>
      <c r="X174" s="828"/>
      <c r="Y174" s="828"/>
      <c r="Z174" s="445"/>
      <c r="AA174" s="445"/>
      <c r="AB174" s="445"/>
    </row>
    <row r="175" spans="1:28" x14ac:dyDescent="0.25">
      <c r="A175" s="450" t="s">
        <v>455</v>
      </c>
      <c r="B175" s="446" t="s">
        <v>325</v>
      </c>
      <c r="C175" s="450" t="s">
        <v>459</v>
      </c>
      <c r="D175" s="840" t="s">
        <v>487</v>
      </c>
      <c r="E175" s="828"/>
      <c r="F175" s="828"/>
      <c r="G175" s="446" t="s">
        <v>293</v>
      </c>
      <c r="H175" s="830" t="s">
        <v>293</v>
      </c>
      <c r="I175" s="828"/>
      <c r="J175" s="828"/>
      <c r="K175" s="446" t="s">
        <v>316</v>
      </c>
      <c r="L175" s="830" t="s">
        <v>317</v>
      </c>
      <c r="M175" s="828"/>
      <c r="N175" s="446" t="s">
        <v>318</v>
      </c>
      <c r="O175" s="446" t="s">
        <v>293</v>
      </c>
      <c r="P175" s="446" t="s">
        <v>293</v>
      </c>
      <c r="Q175" s="841">
        <v>0</v>
      </c>
      <c r="R175" s="828"/>
      <c r="S175" s="841">
        <v>-268.99</v>
      </c>
      <c r="T175" s="828"/>
      <c r="U175" s="842">
        <v>5435.72</v>
      </c>
      <c r="V175" s="828"/>
      <c r="W175" s="828"/>
      <c r="X175" s="828"/>
      <c r="Y175" s="828"/>
      <c r="Z175" s="445"/>
      <c r="AA175" s="445"/>
      <c r="AB175" s="445"/>
    </row>
    <row r="176" spans="1:28" s="491" customFormat="1" ht="18" x14ac:dyDescent="0.25">
      <c r="A176" s="451" t="s">
        <v>455</v>
      </c>
      <c r="B176" s="452" t="s">
        <v>311</v>
      </c>
      <c r="C176" s="451" t="s">
        <v>503</v>
      </c>
      <c r="D176" s="844" t="s">
        <v>648</v>
      </c>
      <c r="E176" s="845"/>
      <c r="F176" s="845"/>
      <c r="G176" s="452" t="s">
        <v>505</v>
      </c>
      <c r="H176" s="846" t="s">
        <v>506</v>
      </c>
      <c r="I176" s="845"/>
      <c r="J176" s="845"/>
      <c r="K176" s="452" t="s">
        <v>316</v>
      </c>
      <c r="L176" s="846" t="s">
        <v>317</v>
      </c>
      <c r="M176" s="845"/>
      <c r="N176" s="452" t="s">
        <v>318</v>
      </c>
      <c r="O176" s="452" t="s">
        <v>293</v>
      </c>
      <c r="P176" s="452" t="s">
        <v>293</v>
      </c>
      <c r="Q176" s="847">
        <v>30.14</v>
      </c>
      <c r="R176" s="845"/>
      <c r="S176" s="847">
        <v>200.93</v>
      </c>
      <c r="T176" s="845"/>
      <c r="U176" s="848">
        <v>5636.65</v>
      </c>
      <c r="V176" s="845"/>
      <c r="W176" s="845"/>
      <c r="X176" s="845"/>
      <c r="Y176" s="845"/>
      <c r="Z176" s="453"/>
      <c r="AA176" s="453"/>
      <c r="AB176" s="453"/>
    </row>
    <row r="177" spans="1:32" x14ac:dyDescent="0.25">
      <c r="A177" s="450" t="s">
        <v>489</v>
      </c>
      <c r="B177" s="446" t="s">
        <v>325</v>
      </c>
      <c r="C177" s="450" t="s">
        <v>490</v>
      </c>
      <c r="D177" s="840" t="s">
        <v>492</v>
      </c>
      <c r="E177" s="828"/>
      <c r="F177" s="828"/>
      <c r="G177" s="446" t="s">
        <v>293</v>
      </c>
      <c r="H177" s="830" t="s">
        <v>293</v>
      </c>
      <c r="I177" s="828"/>
      <c r="J177" s="828"/>
      <c r="K177" s="446" t="s">
        <v>316</v>
      </c>
      <c r="L177" s="830" t="s">
        <v>493</v>
      </c>
      <c r="M177" s="828"/>
      <c r="N177" s="446" t="s">
        <v>318</v>
      </c>
      <c r="O177" s="446" t="s">
        <v>293</v>
      </c>
      <c r="P177" s="446" t="s">
        <v>293</v>
      </c>
      <c r="Q177" s="841">
        <v>0</v>
      </c>
      <c r="R177" s="828"/>
      <c r="S177" s="841">
        <v>123.47</v>
      </c>
      <c r="T177" s="828"/>
      <c r="U177" s="842">
        <v>5760.12</v>
      </c>
      <c r="V177" s="828"/>
      <c r="W177" s="828"/>
      <c r="X177" s="828"/>
      <c r="Y177" s="828"/>
      <c r="Z177" s="445"/>
      <c r="AA177" s="445"/>
      <c r="AB177" s="445"/>
      <c r="AC177" s="445"/>
      <c r="AD177" s="445"/>
      <c r="AE177" s="445"/>
      <c r="AF177" s="445"/>
    </row>
    <row r="178" spans="1:32" x14ac:dyDescent="0.25">
      <c r="A178" s="450" t="s">
        <v>494</v>
      </c>
      <c r="B178" s="446" t="s">
        <v>325</v>
      </c>
      <c r="C178" s="450" t="s">
        <v>495</v>
      </c>
      <c r="D178" s="840" t="s">
        <v>492</v>
      </c>
      <c r="E178" s="828"/>
      <c r="F178" s="828"/>
      <c r="G178" s="446" t="s">
        <v>293</v>
      </c>
      <c r="H178" s="830" t="s">
        <v>293</v>
      </c>
      <c r="I178" s="828"/>
      <c r="J178" s="828"/>
      <c r="K178" s="446" t="s">
        <v>316</v>
      </c>
      <c r="L178" s="830" t="s">
        <v>493</v>
      </c>
      <c r="M178" s="828"/>
      <c r="N178" s="446" t="s">
        <v>318</v>
      </c>
      <c r="O178" s="446" t="s">
        <v>293</v>
      </c>
      <c r="P178" s="446" t="s">
        <v>293</v>
      </c>
      <c r="Q178" s="841">
        <v>0</v>
      </c>
      <c r="R178" s="828"/>
      <c r="S178" s="841">
        <v>-123.47</v>
      </c>
      <c r="T178" s="828"/>
      <c r="U178" s="842">
        <v>5636.65</v>
      </c>
      <c r="V178" s="828"/>
      <c r="W178" s="828"/>
      <c r="X178" s="828"/>
      <c r="Y178" s="828"/>
      <c r="Z178" s="445"/>
      <c r="AA178" s="445"/>
      <c r="AB178" s="445"/>
      <c r="AC178" s="445"/>
      <c r="AD178" s="445"/>
      <c r="AE178" s="445"/>
      <c r="AF178" s="445"/>
    </row>
    <row r="179" spans="1:32" s="491" customFormat="1" ht="18" x14ac:dyDescent="0.25">
      <c r="A179" s="451" t="s">
        <v>494</v>
      </c>
      <c r="B179" s="452" t="s">
        <v>311</v>
      </c>
      <c r="C179" s="451" t="s">
        <v>509</v>
      </c>
      <c r="D179" s="844" t="s">
        <v>648</v>
      </c>
      <c r="E179" s="845"/>
      <c r="F179" s="845"/>
      <c r="G179" s="452" t="s">
        <v>505</v>
      </c>
      <c r="H179" s="846" t="s">
        <v>511</v>
      </c>
      <c r="I179" s="845"/>
      <c r="J179" s="845"/>
      <c r="K179" s="452" t="s">
        <v>316</v>
      </c>
      <c r="L179" s="846" t="s">
        <v>317</v>
      </c>
      <c r="M179" s="845"/>
      <c r="N179" s="452" t="s">
        <v>318</v>
      </c>
      <c r="O179" s="452" t="s">
        <v>293</v>
      </c>
      <c r="P179" s="452" t="s">
        <v>293</v>
      </c>
      <c r="Q179" s="847">
        <v>18.52</v>
      </c>
      <c r="R179" s="845"/>
      <c r="S179" s="847">
        <v>123.47</v>
      </c>
      <c r="T179" s="845"/>
      <c r="U179" s="848">
        <v>5760.12</v>
      </c>
      <c r="V179" s="845"/>
      <c r="W179" s="845"/>
      <c r="X179" s="845"/>
      <c r="Y179" s="845"/>
      <c r="Z179" s="453"/>
      <c r="AA179" s="453"/>
      <c r="AB179" s="453"/>
      <c r="AC179" s="453"/>
      <c r="AD179" s="453"/>
      <c r="AE179" s="453"/>
      <c r="AF179" s="453"/>
    </row>
    <row r="180" spans="1:32" s="491" customFormat="1" x14ac:dyDescent="0.25">
      <c r="A180" s="451" t="s">
        <v>496</v>
      </c>
      <c r="B180" s="452" t="s">
        <v>325</v>
      </c>
      <c r="C180" s="451" t="s">
        <v>497</v>
      </c>
      <c r="D180" s="844" t="s">
        <v>498</v>
      </c>
      <c r="E180" s="845"/>
      <c r="F180" s="845"/>
      <c r="G180" s="452" t="s">
        <v>293</v>
      </c>
      <c r="H180" s="846" t="s">
        <v>293</v>
      </c>
      <c r="I180" s="845"/>
      <c r="J180" s="845"/>
      <c r="K180" s="452" t="s">
        <v>316</v>
      </c>
      <c r="L180" s="846" t="s">
        <v>317</v>
      </c>
      <c r="M180" s="845"/>
      <c r="N180" s="452" t="s">
        <v>318</v>
      </c>
      <c r="O180" s="452" t="s">
        <v>293</v>
      </c>
      <c r="P180" s="452" t="s">
        <v>293</v>
      </c>
      <c r="Q180" s="847">
        <v>0</v>
      </c>
      <c r="R180" s="845"/>
      <c r="S180" s="847">
        <v>157.21</v>
      </c>
      <c r="T180" s="845"/>
      <c r="U180" s="848">
        <v>5917.33</v>
      </c>
      <c r="V180" s="845"/>
      <c r="W180" s="845"/>
      <c r="X180" s="845"/>
      <c r="Y180" s="845"/>
      <c r="Z180" s="453"/>
      <c r="AA180" s="453"/>
      <c r="AB180" s="453"/>
      <c r="AC180" s="453"/>
      <c r="AD180" s="453"/>
      <c r="AE180" s="453"/>
      <c r="AF180" s="453"/>
    </row>
    <row r="181" spans="1:32" x14ac:dyDescent="0.25">
      <c r="A181" s="450" t="s">
        <v>467</v>
      </c>
      <c r="B181" s="446" t="s">
        <v>325</v>
      </c>
      <c r="C181" s="450" t="s">
        <v>500</v>
      </c>
      <c r="D181" s="840" t="s">
        <v>498</v>
      </c>
      <c r="E181" s="828"/>
      <c r="F181" s="828"/>
      <c r="G181" s="446" t="s">
        <v>293</v>
      </c>
      <c r="H181" s="830" t="s">
        <v>293</v>
      </c>
      <c r="I181" s="828"/>
      <c r="J181" s="828"/>
      <c r="K181" s="446" t="s">
        <v>316</v>
      </c>
      <c r="L181" s="830" t="s">
        <v>317</v>
      </c>
      <c r="M181" s="828"/>
      <c r="N181" s="446" t="s">
        <v>318</v>
      </c>
      <c r="O181" s="446" t="s">
        <v>293</v>
      </c>
      <c r="P181" s="446" t="s">
        <v>293</v>
      </c>
      <c r="Q181" s="841">
        <v>0</v>
      </c>
      <c r="R181" s="828"/>
      <c r="S181" s="841">
        <v>-157.21</v>
      </c>
      <c r="T181" s="828"/>
      <c r="U181" s="842">
        <v>5760.12</v>
      </c>
      <c r="V181" s="828"/>
      <c r="W181" s="828"/>
      <c r="X181" s="828"/>
      <c r="Y181" s="828"/>
      <c r="Z181" s="445"/>
      <c r="AA181" s="445"/>
      <c r="AB181" s="445"/>
      <c r="AC181" s="445"/>
      <c r="AD181" s="445"/>
      <c r="AE181" s="445"/>
      <c r="AF181" s="445"/>
    </row>
    <row r="182" spans="1:32" s="491" customFormat="1" ht="18" x14ac:dyDescent="0.25">
      <c r="A182" s="451" t="s">
        <v>467</v>
      </c>
      <c r="B182" s="452" t="s">
        <v>325</v>
      </c>
      <c r="C182" s="451" t="s">
        <v>649</v>
      </c>
      <c r="D182" s="844" t="s">
        <v>650</v>
      </c>
      <c r="E182" s="845"/>
      <c r="F182" s="845"/>
      <c r="G182" s="452" t="s">
        <v>293</v>
      </c>
      <c r="H182" s="846" t="s">
        <v>293</v>
      </c>
      <c r="I182" s="845"/>
      <c r="J182" s="845"/>
      <c r="K182" s="452" t="s">
        <v>316</v>
      </c>
      <c r="L182" s="846" t="s">
        <v>317</v>
      </c>
      <c r="M182" s="845"/>
      <c r="N182" s="452" t="s">
        <v>318</v>
      </c>
      <c r="O182" s="452" t="s">
        <v>293</v>
      </c>
      <c r="P182" s="452" t="s">
        <v>293</v>
      </c>
      <c r="Q182" s="847">
        <v>5.87</v>
      </c>
      <c r="R182" s="845"/>
      <c r="S182" s="847">
        <v>39.130000000000003</v>
      </c>
      <c r="T182" s="845"/>
      <c r="U182" s="848">
        <v>5799.25</v>
      </c>
      <c r="V182" s="845"/>
      <c r="W182" s="845"/>
      <c r="X182" s="845"/>
      <c r="Y182" s="845"/>
      <c r="Z182" s="453"/>
      <c r="AA182" s="453"/>
      <c r="AB182" s="453" t="s">
        <v>557</v>
      </c>
      <c r="AC182" s="453"/>
      <c r="AD182" s="453"/>
      <c r="AE182" s="453"/>
      <c r="AF182" s="453"/>
    </row>
    <row r="183" spans="1:32" s="491" customFormat="1" ht="18" x14ac:dyDescent="0.25">
      <c r="A183" s="451" t="s">
        <v>451</v>
      </c>
      <c r="B183" s="452" t="s">
        <v>325</v>
      </c>
      <c r="C183" s="451" t="s">
        <v>651</v>
      </c>
      <c r="D183" s="844" t="s">
        <v>652</v>
      </c>
      <c r="E183" s="845"/>
      <c r="F183" s="845"/>
      <c r="G183" s="452" t="s">
        <v>293</v>
      </c>
      <c r="H183" s="846" t="s">
        <v>293</v>
      </c>
      <c r="I183" s="845"/>
      <c r="J183" s="845"/>
      <c r="K183" s="452" t="s">
        <v>316</v>
      </c>
      <c r="L183" s="846" t="s">
        <v>317</v>
      </c>
      <c r="M183" s="845"/>
      <c r="N183" s="452" t="s">
        <v>318</v>
      </c>
      <c r="O183" s="452" t="s">
        <v>293</v>
      </c>
      <c r="P183" s="452" t="s">
        <v>293</v>
      </c>
      <c r="Q183" s="847">
        <v>0.98</v>
      </c>
      <c r="R183" s="845"/>
      <c r="S183" s="847">
        <v>6.52</v>
      </c>
      <c r="T183" s="845"/>
      <c r="U183" s="848">
        <v>5805.77</v>
      </c>
      <c r="V183" s="845"/>
      <c r="W183" s="845"/>
      <c r="X183" s="845"/>
      <c r="Y183" s="845"/>
      <c r="Z183" s="453"/>
      <c r="AA183" s="453"/>
      <c r="AB183" s="453" t="s">
        <v>563</v>
      </c>
      <c r="AC183" s="453"/>
      <c r="AD183" s="453"/>
      <c r="AE183" s="453"/>
      <c r="AF183" s="453"/>
    </row>
    <row r="184" spans="1:32" s="491" customFormat="1" ht="18" x14ac:dyDescent="0.25">
      <c r="A184" s="451" t="s">
        <v>451</v>
      </c>
      <c r="B184" s="452" t="s">
        <v>325</v>
      </c>
      <c r="C184" s="451" t="s">
        <v>653</v>
      </c>
      <c r="D184" s="844" t="s">
        <v>654</v>
      </c>
      <c r="E184" s="845"/>
      <c r="F184" s="845"/>
      <c r="G184" s="452" t="s">
        <v>293</v>
      </c>
      <c r="H184" s="846" t="s">
        <v>293</v>
      </c>
      <c r="I184" s="845"/>
      <c r="J184" s="845"/>
      <c r="K184" s="452" t="s">
        <v>316</v>
      </c>
      <c r="L184" s="846" t="s">
        <v>317</v>
      </c>
      <c r="M184" s="845"/>
      <c r="N184" s="452" t="s">
        <v>318</v>
      </c>
      <c r="O184" s="452" t="s">
        <v>293</v>
      </c>
      <c r="P184" s="452" t="s">
        <v>293</v>
      </c>
      <c r="Q184" s="847">
        <v>4.7</v>
      </c>
      <c r="R184" s="845"/>
      <c r="S184" s="847">
        <v>31.3</v>
      </c>
      <c r="T184" s="845"/>
      <c r="U184" s="848">
        <v>5837.07</v>
      </c>
      <c r="V184" s="845"/>
      <c r="W184" s="845"/>
      <c r="X184" s="845"/>
      <c r="Y184" s="845"/>
      <c r="Z184" s="453"/>
      <c r="AA184" s="453"/>
      <c r="AB184" s="453" t="s">
        <v>563</v>
      </c>
      <c r="AC184" s="453"/>
      <c r="AD184" s="453"/>
      <c r="AE184" s="453"/>
      <c r="AF184" s="453"/>
    </row>
    <row r="185" spans="1:32" s="491" customFormat="1" ht="18" x14ac:dyDescent="0.25">
      <c r="A185" s="451" t="s">
        <v>451</v>
      </c>
      <c r="B185" s="452" t="s">
        <v>325</v>
      </c>
      <c r="C185" s="451" t="s">
        <v>655</v>
      </c>
      <c r="D185" s="844" t="s">
        <v>656</v>
      </c>
      <c r="E185" s="845"/>
      <c r="F185" s="845"/>
      <c r="G185" s="452" t="s">
        <v>293</v>
      </c>
      <c r="H185" s="846" t="s">
        <v>293</v>
      </c>
      <c r="I185" s="845"/>
      <c r="J185" s="845"/>
      <c r="K185" s="452" t="s">
        <v>316</v>
      </c>
      <c r="L185" s="846" t="s">
        <v>317</v>
      </c>
      <c r="M185" s="845"/>
      <c r="N185" s="452" t="s">
        <v>318</v>
      </c>
      <c r="O185" s="452" t="s">
        <v>293</v>
      </c>
      <c r="P185" s="452" t="s">
        <v>293</v>
      </c>
      <c r="Q185" s="847">
        <v>7.38</v>
      </c>
      <c r="R185" s="845"/>
      <c r="S185" s="847">
        <v>49.22</v>
      </c>
      <c r="T185" s="845"/>
      <c r="U185" s="848">
        <v>5886.29</v>
      </c>
      <c r="V185" s="845"/>
      <c r="W185" s="845"/>
      <c r="X185" s="845"/>
      <c r="Y185" s="845"/>
      <c r="Z185" s="453"/>
      <c r="AA185" s="453"/>
      <c r="AB185" s="453" t="s">
        <v>563</v>
      </c>
      <c r="AC185" s="453"/>
      <c r="AD185" s="453"/>
      <c r="AE185" s="453"/>
      <c r="AF185" s="453"/>
    </row>
    <row r="186" spans="1:32" x14ac:dyDescent="0.25">
      <c r="A186" s="831" t="s">
        <v>293</v>
      </c>
      <c r="B186" s="828"/>
      <c r="C186" s="828"/>
      <c r="D186" s="828"/>
      <c r="E186" s="831" t="s">
        <v>415</v>
      </c>
      <c r="F186" s="828"/>
      <c r="G186" s="828"/>
      <c r="H186" s="831" t="s">
        <v>293</v>
      </c>
      <c r="I186" s="828"/>
      <c r="J186" s="828"/>
      <c r="K186" s="828"/>
      <c r="L186" s="828"/>
      <c r="M186" s="828"/>
      <c r="N186" s="449" t="s">
        <v>293</v>
      </c>
      <c r="O186" s="449" t="s">
        <v>293</v>
      </c>
      <c r="P186" s="449" t="s">
        <v>293</v>
      </c>
      <c r="Q186" s="843">
        <v>67.59</v>
      </c>
      <c r="R186" s="828"/>
      <c r="S186" s="843">
        <v>181.58</v>
      </c>
      <c r="T186" s="828"/>
      <c r="U186" s="843">
        <v>5886.29</v>
      </c>
      <c r="V186" s="828"/>
      <c r="W186" s="828"/>
      <c r="X186" s="828"/>
      <c r="Y186" s="828"/>
      <c r="Z186" s="445"/>
      <c r="AA186" s="445"/>
      <c r="AB186" s="445"/>
      <c r="AC186" s="445"/>
      <c r="AD186" s="445"/>
      <c r="AE186" s="445"/>
      <c r="AF186" s="445"/>
    </row>
    <row r="187" spans="1:32" ht="24" customHeight="1" x14ac:dyDescent="0.25">
      <c r="A187" s="833" t="s">
        <v>293</v>
      </c>
      <c r="B187" s="828"/>
      <c r="C187" s="828"/>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445"/>
      <c r="AA187" s="445"/>
      <c r="AB187" s="445"/>
      <c r="AC187" s="445"/>
      <c r="AD187" s="445"/>
      <c r="AE187" s="445"/>
      <c r="AF187" s="445"/>
    </row>
    <row r="188" spans="1:32" ht="12" customHeight="1" x14ac:dyDescent="0.25">
      <c r="A188" s="831" t="s">
        <v>307</v>
      </c>
      <c r="B188" s="828"/>
      <c r="C188" s="449" t="s">
        <v>293</v>
      </c>
      <c r="D188" s="449" t="s">
        <v>657</v>
      </c>
      <c r="E188" s="831" t="s">
        <v>658</v>
      </c>
      <c r="F188" s="828"/>
      <c r="G188" s="828"/>
      <c r="H188" s="831" t="s">
        <v>293</v>
      </c>
      <c r="I188" s="828"/>
      <c r="J188" s="828"/>
      <c r="K188" s="828"/>
      <c r="L188" s="828"/>
      <c r="M188" s="828"/>
      <c r="N188" s="828"/>
      <c r="O188" s="828"/>
      <c r="P188" s="828"/>
      <c r="Q188" s="828"/>
      <c r="R188" s="828"/>
      <c r="S188" s="828"/>
      <c r="T188" s="828"/>
      <c r="U188" s="843">
        <v>1549.67</v>
      </c>
      <c r="V188" s="828"/>
      <c r="W188" s="828"/>
      <c r="X188" s="828"/>
      <c r="Y188" s="828"/>
      <c r="Z188" s="445"/>
      <c r="AA188" s="445"/>
      <c r="AB188" s="445"/>
      <c r="AC188" s="445"/>
      <c r="AD188" s="445"/>
      <c r="AE188" s="445"/>
      <c r="AF188" s="445"/>
    </row>
    <row r="189" spans="1:32" s="491" customFormat="1" ht="18" x14ac:dyDescent="0.25">
      <c r="A189" s="451" t="s">
        <v>455</v>
      </c>
      <c r="B189" s="452" t="s">
        <v>325</v>
      </c>
      <c r="C189" s="451" t="s">
        <v>659</v>
      </c>
      <c r="D189" s="844" t="s">
        <v>660</v>
      </c>
      <c r="E189" s="845"/>
      <c r="F189" s="845"/>
      <c r="G189" s="452" t="s">
        <v>293</v>
      </c>
      <c r="H189" s="846" t="s">
        <v>293</v>
      </c>
      <c r="I189" s="845"/>
      <c r="J189" s="845"/>
      <c r="K189" s="452" t="s">
        <v>316</v>
      </c>
      <c r="L189" s="846" t="s">
        <v>317</v>
      </c>
      <c r="M189" s="845"/>
      <c r="N189" s="452" t="s">
        <v>318</v>
      </c>
      <c r="O189" s="452" t="s">
        <v>293</v>
      </c>
      <c r="P189" s="452" t="s">
        <v>293</v>
      </c>
      <c r="Q189" s="847">
        <v>38.880000000000003</v>
      </c>
      <c r="R189" s="845"/>
      <c r="S189" s="847">
        <v>259.2</v>
      </c>
      <c r="T189" s="845"/>
      <c r="U189" s="848">
        <v>1808.87</v>
      </c>
      <c r="V189" s="845"/>
      <c r="W189" s="845"/>
      <c r="X189" s="845"/>
      <c r="Y189" s="845"/>
      <c r="Z189" s="453"/>
      <c r="AA189" s="453"/>
      <c r="AB189" s="453" t="s">
        <v>661</v>
      </c>
      <c r="AC189" s="453"/>
      <c r="AD189" s="453"/>
      <c r="AE189" s="453"/>
      <c r="AF189" s="495" t="s">
        <v>473</v>
      </c>
    </row>
    <row r="190" spans="1:32" x14ac:dyDescent="0.25">
      <c r="A190" s="831" t="s">
        <v>293</v>
      </c>
      <c r="B190" s="828"/>
      <c r="C190" s="828"/>
      <c r="D190" s="828"/>
      <c r="E190" s="831" t="s">
        <v>658</v>
      </c>
      <c r="F190" s="828"/>
      <c r="G190" s="828"/>
      <c r="H190" s="831" t="s">
        <v>293</v>
      </c>
      <c r="I190" s="828"/>
      <c r="J190" s="828"/>
      <c r="K190" s="828"/>
      <c r="L190" s="828"/>
      <c r="M190" s="828"/>
      <c r="N190" s="449" t="s">
        <v>293</v>
      </c>
      <c r="O190" s="449" t="s">
        <v>293</v>
      </c>
      <c r="P190" s="449" t="s">
        <v>293</v>
      </c>
      <c r="Q190" s="843">
        <v>38.880000000000003</v>
      </c>
      <c r="R190" s="828"/>
      <c r="S190" s="843">
        <v>259.2</v>
      </c>
      <c r="T190" s="828"/>
      <c r="U190" s="843">
        <v>1808.87</v>
      </c>
      <c r="V190" s="828"/>
      <c r="W190" s="828"/>
      <c r="X190" s="828"/>
      <c r="Y190" s="828"/>
      <c r="Z190" s="445"/>
      <c r="AA190" s="445"/>
      <c r="AB190" s="445"/>
      <c r="AC190" s="445"/>
      <c r="AD190" s="445"/>
      <c r="AE190" s="445"/>
      <c r="AF190" s="445"/>
    </row>
    <row r="191" spans="1:32" ht="24" customHeight="1" x14ac:dyDescent="0.25">
      <c r="A191" s="833" t="s">
        <v>293</v>
      </c>
      <c r="B191" s="828"/>
      <c r="C191" s="828"/>
      <c r="D191" s="828"/>
      <c r="E191" s="828"/>
      <c r="F191" s="828"/>
      <c r="G191" s="828"/>
      <c r="H191" s="828"/>
      <c r="I191" s="828"/>
      <c r="J191" s="828"/>
      <c r="K191" s="828"/>
      <c r="L191" s="828"/>
      <c r="M191" s="828"/>
      <c r="N191" s="828"/>
      <c r="O191" s="828"/>
      <c r="P191" s="828"/>
      <c r="Q191" s="828"/>
      <c r="R191" s="828"/>
      <c r="S191" s="828"/>
      <c r="T191" s="828"/>
      <c r="U191" s="828"/>
      <c r="V191" s="828"/>
      <c r="W191" s="828"/>
      <c r="X191" s="828"/>
      <c r="Y191" s="828"/>
      <c r="Z191" s="445"/>
      <c r="AA191" s="445"/>
      <c r="AB191" s="445"/>
      <c r="AC191" s="445"/>
      <c r="AD191" s="445"/>
      <c r="AE191" s="445"/>
      <c r="AF191" s="445"/>
    </row>
    <row r="192" spans="1:32" ht="12" customHeight="1" x14ac:dyDescent="0.25">
      <c r="A192" s="831" t="s">
        <v>307</v>
      </c>
      <c r="B192" s="828"/>
      <c r="C192" s="449" t="s">
        <v>293</v>
      </c>
      <c r="D192" s="449" t="s">
        <v>662</v>
      </c>
      <c r="E192" s="831" t="s">
        <v>663</v>
      </c>
      <c r="F192" s="828"/>
      <c r="G192" s="828"/>
      <c r="H192" s="831" t="s">
        <v>293</v>
      </c>
      <c r="I192" s="828"/>
      <c r="J192" s="828"/>
      <c r="K192" s="828"/>
      <c r="L192" s="828"/>
      <c r="M192" s="828"/>
      <c r="N192" s="828"/>
      <c r="O192" s="828"/>
      <c r="P192" s="828"/>
      <c r="Q192" s="828"/>
      <c r="R192" s="828"/>
      <c r="S192" s="828"/>
      <c r="T192" s="828"/>
      <c r="U192" s="843">
        <v>3704.38</v>
      </c>
      <c r="V192" s="828"/>
      <c r="W192" s="828"/>
      <c r="X192" s="828"/>
      <c r="Y192" s="828"/>
      <c r="Z192" s="445"/>
      <c r="AA192" s="445"/>
      <c r="AB192" s="445"/>
      <c r="AC192" s="445"/>
      <c r="AD192" s="445"/>
      <c r="AE192" s="445"/>
      <c r="AF192" s="445"/>
    </row>
    <row r="193" spans="1:32" s="491" customFormat="1" ht="18" x14ac:dyDescent="0.25">
      <c r="A193" s="451" t="s">
        <v>455</v>
      </c>
      <c r="B193" s="452" t="s">
        <v>325</v>
      </c>
      <c r="C193" s="451" t="s">
        <v>664</v>
      </c>
      <c r="D193" s="844" t="s">
        <v>665</v>
      </c>
      <c r="E193" s="845"/>
      <c r="F193" s="845"/>
      <c r="G193" s="452" t="s">
        <v>293</v>
      </c>
      <c r="H193" s="846" t="s">
        <v>293</v>
      </c>
      <c r="I193" s="845"/>
      <c r="J193" s="845"/>
      <c r="K193" s="452" t="s">
        <v>316</v>
      </c>
      <c r="L193" s="846" t="s">
        <v>317</v>
      </c>
      <c r="M193" s="845"/>
      <c r="N193" s="452" t="s">
        <v>318</v>
      </c>
      <c r="O193" s="452" t="s">
        <v>293</v>
      </c>
      <c r="P193" s="452" t="s">
        <v>293</v>
      </c>
      <c r="Q193" s="847">
        <v>1.24</v>
      </c>
      <c r="R193" s="845"/>
      <c r="S193" s="847">
        <v>8.26</v>
      </c>
      <c r="T193" s="845"/>
      <c r="U193" s="848">
        <v>3712.64</v>
      </c>
      <c r="V193" s="845"/>
      <c r="W193" s="845"/>
      <c r="X193" s="845"/>
      <c r="Y193" s="845"/>
      <c r="Z193" s="453"/>
      <c r="AA193" s="453"/>
      <c r="AB193" s="453" t="s">
        <v>666</v>
      </c>
      <c r="AC193" s="453"/>
      <c r="AD193" s="453"/>
      <c r="AE193" s="453"/>
      <c r="AF193" s="495" t="s">
        <v>473</v>
      </c>
    </row>
    <row r="194" spans="1:32" x14ac:dyDescent="0.25">
      <c r="A194" s="450" t="s">
        <v>667</v>
      </c>
      <c r="B194" s="446" t="s">
        <v>311</v>
      </c>
      <c r="C194" s="450" t="s">
        <v>668</v>
      </c>
      <c r="D194" s="840" t="s">
        <v>669</v>
      </c>
      <c r="E194" s="828"/>
      <c r="F194" s="828"/>
      <c r="G194" s="446" t="s">
        <v>481</v>
      </c>
      <c r="H194" s="830" t="s">
        <v>670</v>
      </c>
      <c r="I194" s="828"/>
      <c r="J194" s="828"/>
      <c r="K194" s="446" t="s">
        <v>316</v>
      </c>
      <c r="L194" s="830" t="s">
        <v>317</v>
      </c>
      <c r="M194" s="828"/>
      <c r="N194" s="446" t="s">
        <v>318</v>
      </c>
      <c r="O194" s="446" t="s">
        <v>293</v>
      </c>
      <c r="P194" s="446" t="s">
        <v>293</v>
      </c>
      <c r="Q194" s="841">
        <v>10.17</v>
      </c>
      <c r="R194" s="828"/>
      <c r="S194" s="841">
        <v>67.83</v>
      </c>
      <c r="T194" s="828"/>
      <c r="U194" s="842">
        <v>3780.47</v>
      </c>
      <c r="V194" s="828"/>
      <c r="W194" s="828"/>
      <c r="X194" s="828"/>
      <c r="Y194" s="828"/>
      <c r="Z194" s="445"/>
      <c r="AA194" s="445"/>
      <c r="AB194" s="445"/>
      <c r="AC194" s="445"/>
      <c r="AD194" s="445"/>
      <c r="AE194" s="445"/>
      <c r="AF194" s="445"/>
    </row>
    <row r="195" spans="1:32" ht="18" x14ac:dyDescent="0.25">
      <c r="A195" s="450" t="s">
        <v>671</v>
      </c>
      <c r="B195" s="446" t="s">
        <v>311</v>
      </c>
      <c r="C195" s="450" t="s">
        <v>672</v>
      </c>
      <c r="D195" s="840" t="s">
        <v>673</v>
      </c>
      <c r="E195" s="828"/>
      <c r="F195" s="828"/>
      <c r="G195" s="446" t="s">
        <v>674</v>
      </c>
      <c r="H195" s="830" t="s">
        <v>675</v>
      </c>
      <c r="I195" s="828"/>
      <c r="J195" s="828"/>
      <c r="K195" s="446" t="s">
        <v>316</v>
      </c>
      <c r="L195" s="830" t="s">
        <v>317</v>
      </c>
      <c r="M195" s="828"/>
      <c r="N195" s="446" t="s">
        <v>318</v>
      </c>
      <c r="O195" s="446" t="s">
        <v>293</v>
      </c>
      <c r="P195" s="446" t="s">
        <v>293</v>
      </c>
      <c r="Q195" s="841">
        <v>63.65</v>
      </c>
      <c r="R195" s="828"/>
      <c r="S195" s="841">
        <v>424.35</v>
      </c>
      <c r="T195" s="828"/>
      <c r="U195" s="842">
        <v>4204.82</v>
      </c>
      <c r="V195" s="828"/>
      <c r="W195" s="828"/>
      <c r="X195" s="828"/>
      <c r="Y195" s="828"/>
      <c r="Z195" s="445"/>
      <c r="AA195" s="445"/>
      <c r="AB195" s="445"/>
      <c r="AC195" s="445"/>
      <c r="AD195" s="445"/>
      <c r="AE195" s="445"/>
      <c r="AF195" s="445"/>
    </row>
    <row r="196" spans="1:32" x14ac:dyDescent="0.25">
      <c r="A196" s="450" t="s">
        <v>676</v>
      </c>
      <c r="B196" s="446" t="s">
        <v>311</v>
      </c>
      <c r="C196" s="450" t="s">
        <v>677</v>
      </c>
      <c r="D196" s="840" t="s">
        <v>678</v>
      </c>
      <c r="E196" s="828"/>
      <c r="F196" s="828"/>
      <c r="G196" s="446" t="s">
        <v>481</v>
      </c>
      <c r="H196" s="830" t="s">
        <v>679</v>
      </c>
      <c r="I196" s="828"/>
      <c r="J196" s="828"/>
      <c r="K196" s="446" t="s">
        <v>316</v>
      </c>
      <c r="L196" s="830" t="s">
        <v>317</v>
      </c>
      <c r="M196" s="828"/>
      <c r="N196" s="446" t="s">
        <v>318</v>
      </c>
      <c r="O196" s="446" t="s">
        <v>293</v>
      </c>
      <c r="P196" s="446" t="s">
        <v>293</v>
      </c>
      <c r="Q196" s="841">
        <v>6</v>
      </c>
      <c r="R196" s="828"/>
      <c r="S196" s="841">
        <v>40</v>
      </c>
      <c r="T196" s="828"/>
      <c r="U196" s="842">
        <v>4244.82</v>
      </c>
      <c r="V196" s="828"/>
      <c r="W196" s="828"/>
      <c r="X196" s="828"/>
      <c r="Y196" s="828"/>
      <c r="Z196" s="445"/>
      <c r="AA196" s="445"/>
      <c r="AB196" s="445"/>
      <c r="AC196" s="445"/>
      <c r="AD196" s="445"/>
      <c r="AE196" s="445"/>
      <c r="AF196" s="445"/>
    </row>
    <row r="197" spans="1:32" x14ac:dyDescent="0.25">
      <c r="A197" s="450" t="s">
        <v>620</v>
      </c>
      <c r="B197" s="446" t="s">
        <v>311</v>
      </c>
      <c r="C197" s="450" t="s">
        <v>680</v>
      </c>
      <c r="D197" s="840" t="s">
        <v>681</v>
      </c>
      <c r="E197" s="828"/>
      <c r="F197" s="828"/>
      <c r="G197" s="446" t="s">
        <v>481</v>
      </c>
      <c r="H197" s="830" t="s">
        <v>682</v>
      </c>
      <c r="I197" s="828"/>
      <c r="J197" s="828"/>
      <c r="K197" s="446" t="s">
        <v>316</v>
      </c>
      <c r="L197" s="830" t="s">
        <v>317</v>
      </c>
      <c r="M197" s="828"/>
      <c r="N197" s="446" t="s">
        <v>318</v>
      </c>
      <c r="O197" s="446" t="s">
        <v>293</v>
      </c>
      <c r="P197" s="446" t="s">
        <v>293</v>
      </c>
      <c r="Q197" s="841">
        <v>24.39</v>
      </c>
      <c r="R197" s="828"/>
      <c r="S197" s="841">
        <v>162.61000000000001</v>
      </c>
      <c r="T197" s="828"/>
      <c r="U197" s="842">
        <v>4407.43</v>
      </c>
      <c r="V197" s="828"/>
      <c r="W197" s="828"/>
      <c r="X197" s="828"/>
      <c r="Y197" s="828"/>
      <c r="Z197" s="445"/>
      <c r="AA197" s="445"/>
      <c r="AB197" s="445"/>
      <c r="AC197" s="445"/>
      <c r="AD197" s="445"/>
      <c r="AE197" s="445"/>
      <c r="AF197" s="445"/>
    </row>
    <row r="198" spans="1:32" x14ac:dyDescent="0.25">
      <c r="A198" s="450" t="s">
        <v>683</v>
      </c>
      <c r="B198" s="446" t="s">
        <v>311</v>
      </c>
      <c r="C198" s="450" t="s">
        <v>684</v>
      </c>
      <c r="D198" s="840" t="s">
        <v>685</v>
      </c>
      <c r="E198" s="828"/>
      <c r="F198" s="828"/>
      <c r="G198" s="446" t="s">
        <v>481</v>
      </c>
      <c r="H198" s="830" t="s">
        <v>686</v>
      </c>
      <c r="I198" s="828"/>
      <c r="J198" s="828"/>
      <c r="K198" s="446" t="s">
        <v>316</v>
      </c>
      <c r="L198" s="830" t="s">
        <v>317</v>
      </c>
      <c r="M198" s="828"/>
      <c r="N198" s="446" t="s">
        <v>318</v>
      </c>
      <c r="O198" s="446" t="s">
        <v>293</v>
      </c>
      <c r="P198" s="446" t="s">
        <v>293</v>
      </c>
      <c r="Q198" s="841">
        <v>7.5</v>
      </c>
      <c r="R198" s="828"/>
      <c r="S198" s="841">
        <v>50</v>
      </c>
      <c r="T198" s="828"/>
      <c r="U198" s="842">
        <v>4457.43</v>
      </c>
      <c r="V198" s="828"/>
      <c r="W198" s="828"/>
      <c r="X198" s="828"/>
      <c r="Y198" s="828"/>
      <c r="Z198" s="445"/>
      <c r="AA198" s="445"/>
      <c r="AB198" s="445"/>
      <c r="AC198" s="445"/>
      <c r="AD198" s="445"/>
      <c r="AE198" s="445"/>
      <c r="AF198" s="445"/>
    </row>
    <row r="199" spans="1:32" x14ac:dyDescent="0.25">
      <c r="A199" s="450" t="s">
        <v>687</v>
      </c>
      <c r="B199" s="446" t="s">
        <v>311</v>
      </c>
      <c r="C199" s="450" t="s">
        <v>688</v>
      </c>
      <c r="D199" s="840" t="s">
        <v>689</v>
      </c>
      <c r="E199" s="828"/>
      <c r="F199" s="828"/>
      <c r="G199" s="446" t="s">
        <v>481</v>
      </c>
      <c r="H199" s="830" t="s">
        <v>690</v>
      </c>
      <c r="I199" s="828"/>
      <c r="J199" s="828"/>
      <c r="K199" s="446" t="s">
        <v>316</v>
      </c>
      <c r="L199" s="830" t="s">
        <v>317</v>
      </c>
      <c r="M199" s="828"/>
      <c r="N199" s="446" t="s">
        <v>318</v>
      </c>
      <c r="O199" s="446" t="s">
        <v>293</v>
      </c>
      <c r="P199" s="446" t="s">
        <v>293</v>
      </c>
      <c r="Q199" s="841">
        <v>25.56</v>
      </c>
      <c r="R199" s="828"/>
      <c r="S199" s="841">
        <v>170.43</v>
      </c>
      <c r="T199" s="828"/>
      <c r="U199" s="842">
        <v>4627.8599999999997</v>
      </c>
      <c r="V199" s="828"/>
      <c r="W199" s="828"/>
      <c r="X199" s="828"/>
      <c r="Y199" s="828"/>
      <c r="Z199" s="445"/>
      <c r="AA199" s="445"/>
      <c r="AB199" s="445"/>
      <c r="AC199" s="445"/>
      <c r="AD199" s="445"/>
      <c r="AE199" s="445"/>
      <c r="AF199" s="445"/>
    </row>
    <row r="200" spans="1:32" ht="18" x14ac:dyDescent="0.25">
      <c r="A200" s="450" t="s">
        <v>642</v>
      </c>
      <c r="B200" s="446" t="s">
        <v>311</v>
      </c>
      <c r="C200" s="450" t="s">
        <v>691</v>
      </c>
      <c r="D200" s="840" t="s">
        <v>692</v>
      </c>
      <c r="E200" s="828"/>
      <c r="F200" s="828"/>
      <c r="G200" s="446" t="s">
        <v>674</v>
      </c>
      <c r="H200" s="830" t="s">
        <v>693</v>
      </c>
      <c r="I200" s="828"/>
      <c r="J200" s="828"/>
      <c r="K200" s="446" t="s">
        <v>316</v>
      </c>
      <c r="L200" s="830" t="s">
        <v>317</v>
      </c>
      <c r="M200" s="828"/>
      <c r="N200" s="446" t="s">
        <v>318</v>
      </c>
      <c r="O200" s="446" t="s">
        <v>293</v>
      </c>
      <c r="P200" s="446" t="s">
        <v>293</v>
      </c>
      <c r="Q200" s="841">
        <v>27.91</v>
      </c>
      <c r="R200" s="828"/>
      <c r="S200" s="841">
        <v>186.09</v>
      </c>
      <c r="T200" s="828"/>
      <c r="U200" s="842">
        <v>4813.95</v>
      </c>
      <c r="V200" s="828"/>
      <c r="W200" s="828"/>
      <c r="X200" s="828"/>
      <c r="Y200" s="828"/>
      <c r="Z200" s="445"/>
      <c r="AA200" s="445"/>
      <c r="AB200" s="445"/>
      <c r="AC200" s="445"/>
      <c r="AD200" s="445"/>
      <c r="AE200" s="445"/>
      <c r="AF200" s="445"/>
    </row>
    <row r="201" spans="1:32" ht="18" x14ac:dyDescent="0.25">
      <c r="A201" s="450" t="s">
        <v>694</v>
      </c>
      <c r="B201" s="446" t="s">
        <v>311</v>
      </c>
      <c r="C201" s="450" t="s">
        <v>695</v>
      </c>
      <c r="D201" s="840" t="s">
        <v>696</v>
      </c>
      <c r="E201" s="828"/>
      <c r="F201" s="828"/>
      <c r="G201" s="446" t="s">
        <v>342</v>
      </c>
      <c r="H201" s="830" t="s">
        <v>697</v>
      </c>
      <c r="I201" s="828"/>
      <c r="J201" s="828"/>
      <c r="K201" s="446" t="s">
        <v>316</v>
      </c>
      <c r="L201" s="830" t="s">
        <v>317</v>
      </c>
      <c r="M201" s="828"/>
      <c r="N201" s="446" t="s">
        <v>318</v>
      </c>
      <c r="O201" s="446" t="s">
        <v>293</v>
      </c>
      <c r="P201" s="446" t="s">
        <v>293</v>
      </c>
      <c r="Q201" s="841">
        <v>46.19</v>
      </c>
      <c r="R201" s="828"/>
      <c r="S201" s="841">
        <v>307.89999999999998</v>
      </c>
      <c r="T201" s="828"/>
      <c r="U201" s="842">
        <v>5121.8500000000004</v>
      </c>
      <c r="V201" s="828"/>
      <c r="W201" s="828"/>
      <c r="X201" s="828"/>
      <c r="Y201" s="828"/>
      <c r="Z201" s="445"/>
      <c r="AA201" s="445"/>
      <c r="AB201" s="445"/>
      <c r="AC201" s="445"/>
      <c r="AD201" s="445"/>
      <c r="AE201" s="445"/>
      <c r="AF201" s="445"/>
    </row>
    <row r="202" spans="1:32" x14ac:dyDescent="0.25">
      <c r="A202" s="831" t="s">
        <v>293</v>
      </c>
      <c r="B202" s="828"/>
      <c r="C202" s="828"/>
      <c r="D202" s="828"/>
      <c r="E202" s="831" t="s">
        <v>663</v>
      </c>
      <c r="F202" s="828"/>
      <c r="G202" s="828"/>
      <c r="H202" s="831" t="s">
        <v>293</v>
      </c>
      <c r="I202" s="828"/>
      <c r="J202" s="828"/>
      <c r="K202" s="828"/>
      <c r="L202" s="828"/>
      <c r="M202" s="828"/>
      <c r="N202" s="449" t="s">
        <v>293</v>
      </c>
      <c r="O202" s="449" t="s">
        <v>293</v>
      </c>
      <c r="P202" s="449" t="s">
        <v>293</v>
      </c>
      <c r="Q202" s="843">
        <v>212.61</v>
      </c>
      <c r="R202" s="828"/>
      <c r="S202" s="843">
        <v>1417.47</v>
      </c>
      <c r="T202" s="828"/>
      <c r="U202" s="843">
        <v>5121.8500000000004</v>
      </c>
      <c r="V202" s="828"/>
      <c r="W202" s="828"/>
      <c r="X202" s="828"/>
      <c r="Y202" s="828"/>
      <c r="Z202" s="445"/>
      <c r="AA202" s="445"/>
      <c r="AB202" s="445"/>
      <c r="AC202" s="445"/>
      <c r="AD202" s="445"/>
      <c r="AE202" s="445"/>
      <c r="AF202" s="445"/>
    </row>
    <row r="203" spans="1:32" ht="24" customHeight="1" x14ac:dyDescent="0.25">
      <c r="A203" s="833" t="s">
        <v>293</v>
      </c>
      <c r="B203" s="828"/>
      <c r="C203" s="828"/>
      <c r="D203" s="828"/>
      <c r="E203" s="828"/>
      <c r="F203" s="828"/>
      <c r="G203" s="828"/>
      <c r="H203" s="828"/>
      <c r="I203" s="828"/>
      <c r="J203" s="828"/>
      <c r="K203" s="828"/>
      <c r="L203" s="828"/>
      <c r="M203" s="828"/>
      <c r="N203" s="828"/>
      <c r="O203" s="828"/>
      <c r="P203" s="828"/>
      <c r="Q203" s="828"/>
      <c r="R203" s="828"/>
      <c r="S203" s="828"/>
      <c r="T203" s="828"/>
      <c r="U203" s="828"/>
      <c r="V203" s="828"/>
      <c r="W203" s="828"/>
      <c r="X203" s="828"/>
      <c r="Y203" s="828"/>
      <c r="Z203" s="445"/>
      <c r="AA203" s="445"/>
      <c r="AB203" s="445"/>
      <c r="AC203" s="445"/>
      <c r="AD203" s="445"/>
      <c r="AE203" s="445"/>
      <c r="AF203" s="445"/>
    </row>
    <row r="204" spans="1:32" ht="24" customHeight="1" x14ac:dyDescent="0.25">
      <c r="A204" s="833" t="s">
        <v>293</v>
      </c>
      <c r="B204" s="828"/>
      <c r="C204" s="828"/>
      <c r="D204" s="828"/>
      <c r="E204" s="828"/>
      <c r="F204" s="828"/>
      <c r="G204" s="828"/>
      <c r="H204" s="828"/>
      <c r="I204" s="828"/>
      <c r="J204" s="828"/>
      <c r="K204" s="828"/>
      <c r="L204" s="828"/>
      <c r="M204" s="828"/>
      <c r="N204" s="828"/>
      <c r="O204" s="828"/>
      <c r="P204" s="828"/>
      <c r="Q204" s="828"/>
      <c r="R204" s="828"/>
      <c r="S204" s="828"/>
      <c r="T204" s="828"/>
      <c r="U204" s="828"/>
      <c r="V204" s="828"/>
      <c r="W204" s="828"/>
      <c r="X204" s="828"/>
      <c r="Y204" s="828"/>
      <c r="Z204" s="445"/>
      <c r="AA204" s="445"/>
      <c r="AB204" s="445"/>
      <c r="AC204" s="445"/>
      <c r="AD204" s="445"/>
      <c r="AE204" s="445"/>
      <c r="AF204" s="445"/>
    </row>
    <row r="205" spans="1:32" ht="0" hidden="1" customHeight="1" x14ac:dyDescent="0.25">
      <c r="A205" s="445"/>
      <c r="B205" s="445"/>
      <c r="C205" s="445"/>
      <c r="D205" s="445"/>
      <c r="E205" s="445"/>
      <c r="F205" s="445"/>
      <c r="G205" s="445"/>
      <c r="H205" s="445"/>
      <c r="I205" s="445"/>
      <c r="J205" s="445"/>
      <c r="K205" s="445"/>
      <c r="L205" s="445"/>
      <c r="M205" s="445"/>
      <c r="N205" s="445"/>
      <c r="O205" s="445"/>
      <c r="P205" s="445"/>
      <c r="Q205" s="445"/>
      <c r="R205" s="445"/>
      <c r="S205" s="445"/>
      <c r="T205" s="445"/>
      <c r="U205" s="445"/>
      <c r="V205" s="445"/>
      <c r="W205" s="445"/>
      <c r="X205" s="445"/>
      <c r="Y205" s="445"/>
      <c r="Z205" s="445"/>
      <c r="AA205" s="445"/>
      <c r="AB205" s="445"/>
      <c r="AC205" s="445"/>
      <c r="AD205" s="445"/>
      <c r="AE205" s="445"/>
      <c r="AF205" s="445"/>
    </row>
  </sheetData>
  <autoFilter ref="A13:AB204" xr:uid="{9D894791-8722-4951-85F2-713B7151F228}">
    <filterColumn colId="3" showButton="0"/>
    <filterColumn colId="4" showButton="0"/>
    <filterColumn colId="7" showButton="0"/>
    <filterColumn colId="8" showButton="0"/>
    <filterColumn colId="11" showButton="0"/>
    <filterColumn colId="16" showButton="0"/>
    <filterColumn colId="18" showButton="0"/>
    <filterColumn colId="20" showButton="0"/>
    <filterColumn colId="21" showButton="0"/>
    <filterColumn colId="22" showButton="0"/>
    <filterColumn colId="23" showButton="0"/>
  </autoFilter>
  <mergeCells count="1056">
    <mergeCell ref="A204:Y204"/>
    <mergeCell ref="A203:Y203"/>
    <mergeCell ref="A202:D202"/>
    <mergeCell ref="E202:G202"/>
    <mergeCell ref="H202:M202"/>
    <mergeCell ref="Q202:R202"/>
    <mergeCell ref="S202:T202"/>
    <mergeCell ref="U202:Y202"/>
    <mergeCell ref="D201:F201"/>
    <mergeCell ref="H201:J201"/>
    <mergeCell ref="L201:M201"/>
    <mergeCell ref="Q201:R201"/>
    <mergeCell ref="S201:T201"/>
    <mergeCell ref="U201:Y201"/>
    <mergeCell ref="D200:F200"/>
    <mergeCell ref="H200:J200"/>
    <mergeCell ref="L200:M200"/>
    <mergeCell ref="Q200:R200"/>
    <mergeCell ref="S200:T200"/>
    <mergeCell ref="U200:Y200"/>
    <mergeCell ref="D199:F199"/>
    <mergeCell ref="H199:J199"/>
    <mergeCell ref="L199:M199"/>
    <mergeCell ref="Q199:R199"/>
    <mergeCell ref="S199:T199"/>
    <mergeCell ref="U199:Y199"/>
    <mergeCell ref="D198:F198"/>
    <mergeCell ref="H198:J198"/>
    <mergeCell ref="L198:M198"/>
    <mergeCell ref="Q198:R198"/>
    <mergeCell ref="S198:T198"/>
    <mergeCell ref="U198:Y198"/>
    <mergeCell ref="D197:F197"/>
    <mergeCell ref="H197:J197"/>
    <mergeCell ref="L197:M197"/>
    <mergeCell ref="Q197:R197"/>
    <mergeCell ref="S197:T197"/>
    <mergeCell ref="U197:Y197"/>
    <mergeCell ref="D196:F196"/>
    <mergeCell ref="H196:J196"/>
    <mergeCell ref="L196:M196"/>
    <mergeCell ref="Q196:R196"/>
    <mergeCell ref="S196:T196"/>
    <mergeCell ref="U196:Y196"/>
    <mergeCell ref="D195:F195"/>
    <mergeCell ref="H195:J195"/>
    <mergeCell ref="L195:M195"/>
    <mergeCell ref="Q195:R195"/>
    <mergeCell ref="S195:T195"/>
    <mergeCell ref="U195:Y195"/>
    <mergeCell ref="U193:Y193"/>
    <mergeCell ref="D194:F194"/>
    <mergeCell ref="H194:J194"/>
    <mergeCell ref="L194:M194"/>
    <mergeCell ref="Q194:R194"/>
    <mergeCell ref="S194:T194"/>
    <mergeCell ref="U194:Y194"/>
    <mergeCell ref="A191:Y191"/>
    <mergeCell ref="A192:B192"/>
    <mergeCell ref="E192:G192"/>
    <mergeCell ref="H192:T192"/>
    <mergeCell ref="U192:Y192"/>
    <mergeCell ref="D193:F193"/>
    <mergeCell ref="H193:J193"/>
    <mergeCell ref="L193:M193"/>
    <mergeCell ref="Q193:R193"/>
    <mergeCell ref="S193:T193"/>
    <mergeCell ref="U189:Y189"/>
    <mergeCell ref="A190:D190"/>
    <mergeCell ref="E190:G190"/>
    <mergeCell ref="H190:M190"/>
    <mergeCell ref="Q190:R190"/>
    <mergeCell ref="S190:T190"/>
    <mergeCell ref="U190:Y190"/>
    <mergeCell ref="A187:Y187"/>
    <mergeCell ref="A188:B188"/>
    <mergeCell ref="E188:G188"/>
    <mergeCell ref="H188:T188"/>
    <mergeCell ref="U188:Y188"/>
    <mergeCell ref="D189:F189"/>
    <mergeCell ref="H189:J189"/>
    <mergeCell ref="L189:M189"/>
    <mergeCell ref="Q189:R189"/>
    <mergeCell ref="S189:T189"/>
    <mergeCell ref="A186:D186"/>
    <mergeCell ref="E186:G186"/>
    <mergeCell ref="H186:M186"/>
    <mergeCell ref="Q186:R186"/>
    <mergeCell ref="S186:T186"/>
    <mergeCell ref="U186:Y186"/>
    <mergeCell ref="D185:F185"/>
    <mergeCell ref="H185:J185"/>
    <mergeCell ref="L185:M185"/>
    <mergeCell ref="Q185:R185"/>
    <mergeCell ref="S185:T185"/>
    <mergeCell ref="U185:Y185"/>
    <mergeCell ref="D184:F184"/>
    <mergeCell ref="H184:J184"/>
    <mergeCell ref="L184:M184"/>
    <mergeCell ref="Q184:R184"/>
    <mergeCell ref="S184:T184"/>
    <mergeCell ref="U184:Y184"/>
    <mergeCell ref="D183:F183"/>
    <mergeCell ref="H183:J183"/>
    <mergeCell ref="L183:M183"/>
    <mergeCell ref="Q183:R183"/>
    <mergeCell ref="S183:T183"/>
    <mergeCell ref="U183:Y183"/>
    <mergeCell ref="D182:F182"/>
    <mergeCell ref="H182:J182"/>
    <mergeCell ref="L182:M182"/>
    <mergeCell ref="Q182:R182"/>
    <mergeCell ref="S182:T182"/>
    <mergeCell ref="U182:Y182"/>
    <mergeCell ref="D181:F181"/>
    <mergeCell ref="H181:J181"/>
    <mergeCell ref="L181:M181"/>
    <mergeCell ref="Q181:R181"/>
    <mergeCell ref="S181:T181"/>
    <mergeCell ref="U181:Y181"/>
    <mergeCell ref="D180:F180"/>
    <mergeCell ref="H180:J180"/>
    <mergeCell ref="L180:M180"/>
    <mergeCell ref="Q180:R180"/>
    <mergeCell ref="S180:T180"/>
    <mergeCell ref="U180:Y180"/>
    <mergeCell ref="D179:F179"/>
    <mergeCell ref="H179:J179"/>
    <mergeCell ref="L179:M179"/>
    <mergeCell ref="Q179:R179"/>
    <mergeCell ref="S179:T179"/>
    <mergeCell ref="U179:Y179"/>
    <mergeCell ref="D178:F178"/>
    <mergeCell ref="H178:J178"/>
    <mergeCell ref="L178:M178"/>
    <mergeCell ref="Q178:R178"/>
    <mergeCell ref="S178:T178"/>
    <mergeCell ref="U178:Y178"/>
    <mergeCell ref="D177:F177"/>
    <mergeCell ref="H177:J177"/>
    <mergeCell ref="L177:M177"/>
    <mergeCell ref="Q177:R177"/>
    <mergeCell ref="S177:T177"/>
    <mergeCell ref="U177:Y177"/>
    <mergeCell ref="U175:Y175"/>
    <mergeCell ref="D176:F176"/>
    <mergeCell ref="H176:J176"/>
    <mergeCell ref="L176:M176"/>
    <mergeCell ref="Q176:R176"/>
    <mergeCell ref="S176:T176"/>
    <mergeCell ref="U176:Y176"/>
    <mergeCell ref="A173:Y173"/>
    <mergeCell ref="A174:B174"/>
    <mergeCell ref="E174:G174"/>
    <mergeCell ref="H174:T174"/>
    <mergeCell ref="U174:Y174"/>
    <mergeCell ref="D175:F175"/>
    <mergeCell ref="H175:J175"/>
    <mergeCell ref="L175:M175"/>
    <mergeCell ref="Q175:R175"/>
    <mergeCell ref="S175:T175"/>
    <mergeCell ref="A172:D172"/>
    <mergeCell ref="E172:G172"/>
    <mergeCell ref="H172:M172"/>
    <mergeCell ref="Q172:R172"/>
    <mergeCell ref="S172:T172"/>
    <mergeCell ref="U172:Y172"/>
    <mergeCell ref="D171:F171"/>
    <mergeCell ref="H171:J171"/>
    <mergeCell ref="L171:M171"/>
    <mergeCell ref="Q171:R171"/>
    <mergeCell ref="S171:T171"/>
    <mergeCell ref="U171:Y171"/>
    <mergeCell ref="D170:F170"/>
    <mergeCell ref="H170:J170"/>
    <mergeCell ref="L170:M170"/>
    <mergeCell ref="Q170:R170"/>
    <mergeCell ref="S170:T170"/>
    <mergeCell ref="U170:Y170"/>
    <mergeCell ref="D169:F169"/>
    <mergeCell ref="H169:J169"/>
    <mergeCell ref="L169:M169"/>
    <mergeCell ref="Q169:R169"/>
    <mergeCell ref="S169:T169"/>
    <mergeCell ref="U169:Y169"/>
    <mergeCell ref="D168:F168"/>
    <mergeCell ref="H168:J168"/>
    <mergeCell ref="L168:M168"/>
    <mergeCell ref="Q168:R168"/>
    <mergeCell ref="S168:T168"/>
    <mergeCell ref="U168:Y168"/>
    <mergeCell ref="D167:F167"/>
    <mergeCell ref="H167:J167"/>
    <mergeCell ref="L167:M167"/>
    <mergeCell ref="Q167:R167"/>
    <mergeCell ref="S167:T167"/>
    <mergeCell ref="U167:Y167"/>
    <mergeCell ref="D166:F166"/>
    <mergeCell ref="H166:J166"/>
    <mergeCell ref="L166:M166"/>
    <mergeCell ref="Q166:R166"/>
    <mergeCell ref="S166:T166"/>
    <mergeCell ref="U166:Y166"/>
    <mergeCell ref="D165:F165"/>
    <mergeCell ref="H165:J165"/>
    <mergeCell ref="L165:M165"/>
    <mergeCell ref="Q165:R165"/>
    <mergeCell ref="S165:T165"/>
    <mergeCell ref="U165:Y165"/>
    <mergeCell ref="D164:F164"/>
    <mergeCell ref="H164:J164"/>
    <mergeCell ref="L164:M164"/>
    <mergeCell ref="Q164:R164"/>
    <mergeCell ref="S164:T164"/>
    <mergeCell ref="U164:Y164"/>
    <mergeCell ref="D163:F163"/>
    <mergeCell ref="H163:J163"/>
    <mergeCell ref="L163:M163"/>
    <mergeCell ref="Q163:R163"/>
    <mergeCell ref="S163:T163"/>
    <mergeCell ref="U163:Y163"/>
    <mergeCell ref="D162:F162"/>
    <mergeCell ref="H162:J162"/>
    <mergeCell ref="L162:M162"/>
    <mergeCell ref="Q162:R162"/>
    <mergeCell ref="S162:T162"/>
    <mergeCell ref="U162:Y162"/>
    <mergeCell ref="D161:F161"/>
    <mergeCell ref="H161:J161"/>
    <mergeCell ref="L161:M161"/>
    <mergeCell ref="Q161:R161"/>
    <mergeCell ref="S161:T161"/>
    <mergeCell ref="U161:Y161"/>
    <mergeCell ref="D160:F160"/>
    <mergeCell ref="H160:J160"/>
    <mergeCell ref="L160:M160"/>
    <mergeCell ref="Q160:R160"/>
    <mergeCell ref="S160:T160"/>
    <mergeCell ref="U160:Y160"/>
    <mergeCell ref="D159:F159"/>
    <mergeCell ref="H159:J159"/>
    <mergeCell ref="L159:M159"/>
    <mergeCell ref="Q159:R159"/>
    <mergeCell ref="S159:T159"/>
    <mergeCell ref="U159:Y159"/>
    <mergeCell ref="D158:F158"/>
    <mergeCell ref="H158:J158"/>
    <mergeCell ref="L158:M158"/>
    <mergeCell ref="Q158:R158"/>
    <mergeCell ref="S158:T158"/>
    <mergeCell ref="U158:Y158"/>
    <mergeCell ref="D157:F157"/>
    <mergeCell ref="H157:J157"/>
    <mergeCell ref="L157:M157"/>
    <mergeCell ref="Q157:R157"/>
    <mergeCell ref="S157:T157"/>
    <mergeCell ref="U157:Y157"/>
    <mergeCell ref="D156:F156"/>
    <mergeCell ref="H156:J156"/>
    <mergeCell ref="L156:M156"/>
    <mergeCell ref="Q156:R156"/>
    <mergeCell ref="S156:T156"/>
    <mergeCell ref="U156:Y156"/>
    <mergeCell ref="D155:F155"/>
    <mergeCell ref="H155:J155"/>
    <mergeCell ref="L155:M155"/>
    <mergeCell ref="Q155:R155"/>
    <mergeCell ref="S155:T155"/>
    <mergeCell ref="U155:Y155"/>
    <mergeCell ref="D154:F154"/>
    <mergeCell ref="H154:J154"/>
    <mergeCell ref="L154:M154"/>
    <mergeCell ref="Q154:R154"/>
    <mergeCell ref="S154:T154"/>
    <mergeCell ref="U154:Y154"/>
    <mergeCell ref="D153:F153"/>
    <mergeCell ref="H153:J153"/>
    <mergeCell ref="L153:M153"/>
    <mergeCell ref="Q153:R153"/>
    <mergeCell ref="S153:T153"/>
    <mergeCell ref="U153:Y153"/>
    <mergeCell ref="D152:F152"/>
    <mergeCell ref="H152:J152"/>
    <mergeCell ref="L152:M152"/>
    <mergeCell ref="Q152:R152"/>
    <mergeCell ref="S152:T152"/>
    <mergeCell ref="U152:Y152"/>
    <mergeCell ref="D151:F151"/>
    <mergeCell ref="H151:J151"/>
    <mergeCell ref="L151:M151"/>
    <mergeCell ref="Q151:R151"/>
    <mergeCell ref="S151:T151"/>
    <mergeCell ref="U151:Y151"/>
    <mergeCell ref="D150:F150"/>
    <mergeCell ref="H150:J150"/>
    <mergeCell ref="L150:M150"/>
    <mergeCell ref="Q150:R150"/>
    <mergeCell ref="S150:T150"/>
    <mergeCell ref="U150:Y150"/>
    <mergeCell ref="D149:F149"/>
    <mergeCell ref="H149:J149"/>
    <mergeCell ref="L149:M149"/>
    <mergeCell ref="Q149:R149"/>
    <mergeCell ref="S149:T149"/>
    <mergeCell ref="U149:Y149"/>
    <mergeCell ref="D148:F148"/>
    <mergeCell ref="H148:J148"/>
    <mergeCell ref="L148:M148"/>
    <mergeCell ref="Q148:R148"/>
    <mergeCell ref="S148:T148"/>
    <mergeCell ref="U148:Y148"/>
    <mergeCell ref="D147:F147"/>
    <mergeCell ref="H147:J147"/>
    <mergeCell ref="L147:M147"/>
    <mergeCell ref="Q147:R147"/>
    <mergeCell ref="S147:T147"/>
    <mergeCell ref="U147:Y147"/>
    <mergeCell ref="D146:F146"/>
    <mergeCell ref="H146:J146"/>
    <mergeCell ref="L146:M146"/>
    <mergeCell ref="Q146:R146"/>
    <mergeCell ref="S146:T146"/>
    <mergeCell ref="U146:Y146"/>
    <mergeCell ref="D145:F145"/>
    <mergeCell ref="H145:J145"/>
    <mergeCell ref="L145:M145"/>
    <mergeCell ref="Q145:R145"/>
    <mergeCell ref="S145:T145"/>
    <mergeCell ref="U145:Y145"/>
    <mergeCell ref="D144:F144"/>
    <mergeCell ref="H144:J144"/>
    <mergeCell ref="L144:M144"/>
    <mergeCell ref="Q144:R144"/>
    <mergeCell ref="S144:T144"/>
    <mergeCell ref="U144:Y144"/>
    <mergeCell ref="D143:F143"/>
    <mergeCell ref="H143:J143"/>
    <mergeCell ref="L143:M143"/>
    <mergeCell ref="Q143:R143"/>
    <mergeCell ref="S143:T143"/>
    <mergeCell ref="U143:Y143"/>
    <mergeCell ref="D142:F142"/>
    <mergeCell ref="H142:J142"/>
    <mergeCell ref="L142:M142"/>
    <mergeCell ref="Q142:R142"/>
    <mergeCell ref="S142:T142"/>
    <mergeCell ref="U142:Y142"/>
    <mergeCell ref="D141:F141"/>
    <mergeCell ref="H141:J141"/>
    <mergeCell ref="L141:M141"/>
    <mergeCell ref="Q141:R141"/>
    <mergeCell ref="S141:T141"/>
    <mergeCell ref="U141:Y141"/>
    <mergeCell ref="D140:F140"/>
    <mergeCell ref="H140:J140"/>
    <mergeCell ref="L140:M140"/>
    <mergeCell ref="Q140:R140"/>
    <mergeCell ref="S140:T140"/>
    <mergeCell ref="U140:Y140"/>
    <mergeCell ref="D139:F139"/>
    <mergeCell ref="H139:J139"/>
    <mergeCell ref="L139:M139"/>
    <mergeCell ref="Q139:R139"/>
    <mergeCell ref="S139:T139"/>
    <mergeCell ref="U139:Y139"/>
    <mergeCell ref="U137:Y137"/>
    <mergeCell ref="D138:F138"/>
    <mergeCell ref="H138:J138"/>
    <mergeCell ref="L138:M138"/>
    <mergeCell ref="Q138:R138"/>
    <mergeCell ref="S138:T138"/>
    <mergeCell ref="U138:Y138"/>
    <mergeCell ref="A135:Y135"/>
    <mergeCell ref="A136:B136"/>
    <mergeCell ref="E136:G136"/>
    <mergeCell ref="H136:T136"/>
    <mergeCell ref="U136:Y136"/>
    <mergeCell ref="D137:F137"/>
    <mergeCell ref="H137:J137"/>
    <mergeCell ref="L137:M137"/>
    <mergeCell ref="Q137:R137"/>
    <mergeCell ref="S137:T137"/>
    <mergeCell ref="A134:D134"/>
    <mergeCell ref="E134:G134"/>
    <mergeCell ref="H134:M134"/>
    <mergeCell ref="Q134:R134"/>
    <mergeCell ref="S134:T134"/>
    <mergeCell ref="U134:Y134"/>
    <mergeCell ref="D133:F133"/>
    <mergeCell ref="H133:J133"/>
    <mergeCell ref="L133:M133"/>
    <mergeCell ref="Q133:R133"/>
    <mergeCell ref="S133:T133"/>
    <mergeCell ref="U133:Y133"/>
    <mergeCell ref="D132:F132"/>
    <mergeCell ref="H132:J132"/>
    <mergeCell ref="L132:M132"/>
    <mergeCell ref="Q132:R132"/>
    <mergeCell ref="S132:T132"/>
    <mergeCell ref="U132:Y132"/>
    <mergeCell ref="D131:F131"/>
    <mergeCell ref="H131:J131"/>
    <mergeCell ref="L131:M131"/>
    <mergeCell ref="Q131:R131"/>
    <mergeCell ref="S131:T131"/>
    <mergeCell ref="U131:Y131"/>
    <mergeCell ref="D130:F130"/>
    <mergeCell ref="H130:J130"/>
    <mergeCell ref="L130:M130"/>
    <mergeCell ref="Q130:R130"/>
    <mergeCell ref="S130:T130"/>
    <mergeCell ref="U130:Y130"/>
    <mergeCell ref="D129:F129"/>
    <mergeCell ref="H129:J129"/>
    <mergeCell ref="L129:M129"/>
    <mergeCell ref="Q129:R129"/>
    <mergeCell ref="S129:T129"/>
    <mergeCell ref="U129:Y129"/>
    <mergeCell ref="D128:F128"/>
    <mergeCell ref="H128:J128"/>
    <mergeCell ref="L128:M128"/>
    <mergeCell ref="Q128:R128"/>
    <mergeCell ref="S128:T128"/>
    <mergeCell ref="U128:Y128"/>
    <mergeCell ref="D127:F127"/>
    <mergeCell ref="H127:J127"/>
    <mergeCell ref="L127:M127"/>
    <mergeCell ref="Q127:R127"/>
    <mergeCell ref="S127:T127"/>
    <mergeCell ref="U127:Y127"/>
    <mergeCell ref="U125:Y125"/>
    <mergeCell ref="D126:F126"/>
    <mergeCell ref="H126:J126"/>
    <mergeCell ref="L126:M126"/>
    <mergeCell ref="Q126:R126"/>
    <mergeCell ref="S126:T126"/>
    <mergeCell ref="U126:Y126"/>
    <mergeCell ref="A123:Y123"/>
    <mergeCell ref="A124:B124"/>
    <mergeCell ref="E124:G124"/>
    <mergeCell ref="H124:T124"/>
    <mergeCell ref="U124:Y124"/>
    <mergeCell ref="D125:F125"/>
    <mergeCell ref="H125:J125"/>
    <mergeCell ref="L125:M125"/>
    <mergeCell ref="Q125:R125"/>
    <mergeCell ref="S125:T125"/>
    <mergeCell ref="A122:D122"/>
    <mergeCell ref="E122:G122"/>
    <mergeCell ref="H122:M122"/>
    <mergeCell ref="Q122:R122"/>
    <mergeCell ref="S122:T122"/>
    <mergeCell ref="U122:Y122"/>
    <mergeCell ref="D121:F121"/>
    <mergeCell ref="H121:J121"/>
    <mergeCell ref="L121:M121"/>
    <mergeCell ref="Q121:R121"/>
    <mergeCell ref="S121:T121"/>
    <mergeCell ref="U121:Y121"/>
    <mergeCell ref="D120:F120"/>
    <mergeCell ref="H120:J120"/>
    <mergeCell ref="L120:M120"/>
    <mergeCell ref="Q120:R120"/>
    <mergeCell ref="S120:T120"/>
    <mergeCell ref="U120:Y120"/>
    <mergeCell ref="D119:F119"/>
    <mergeCell ref="H119:J119"/>
    <mergeCell ref="L119:M119"/>
    <mergeCell ref="Q119:R119"/>
    <mergeCell ref="S119:T119"/>
    <mergeCell ref="U119:Y119"/>
    <mergeCell ref="D118:F118"/>
    <mergeCell ref="H118:J118"/>
    <mergeCell ref="L118:M118"/>
    <mergeCell ref="Q118:R118"/>
    <mergeCell ref="S118:T118"/>
    <mergeCell ref="U118:Y118"/>
    <mergeCell ref="D117:F117"/>
    <mergeCell ref="H117:J117"/>
    <mergeCell ref="L117:M117"/>
    <mergeCell ref="Q117:R117"/>
    <mergeCell ref="S117:T117"/>
    <mergeCell ref="U117:Y117"/>
    <mergeCell ref="D116:F116"/>
    <mergeCell ref="H116:J116"/>
    <mergeCell ref="L116:M116"/>
    <mergeCell ref="Q116:R116"/>
    <mergeCell ref="S116:T116"/>
    <mergeCell ref="U116:Y116"/>
    <mergeCell ref="D115:F115"/>
    <mergeCell ref="H115:J115"/>
    <mergeCell ref="L115:M115"/>
    <mergeCell ref="Q115:R115"/>
    <mergeCell ref="S115:T115"/>
    <mergeCell ref="U115:Y115"/>
    <mergeCell ref="D114:F114"/>
    <mergeCell ref="H114:J114"/>
    <mergeCell ref="L114:M114"/>
    <mergeCell ref="Q114:R114"/>
    <mergeCell ref="S114:T114"/>
    <mergeCell ref="U114:Y114"/>
    <mergeCell ref="D113:F113"/>
    <mergeCell ref="H113:J113"/>
    <mergeCell ref="L113:M113"/>
    <mergeCell ref="Q113:R113"/>
    <mergeCell ref="S113:T113"/>
    <mergeCell ref="U113:Y113"/>
    <mergeCell ref="D112:F112"/>
    <mergeCell ref="H112:J112"/>
    <mergeCell ref="L112:M112"/>
    <mergeCell ref="Q112:R112"/>
    <mergeCell ref="S112:T112"/>
    <mergeCell ref="U112:Y112"/>
    <mergeCell ref="D111:F111"/>
    <mergeCell ref="H111:J111"/>
    <mergeCell ref="L111:M111"/>
    <mergeCell ref="Q111:R111"/>
    <mergeCell ref="S111:T111"/>
    <mergeCell ref="U111:Y111"/>
    <mergeCell ref="D110:F110"/>
    <mergeCell ref="H110:J110"/>
    <mergeCell ref="L110:M110"/>
    <mergeCell ref="Q110:R110"/>
    <mergeCell ref="S110:T110"/>
    <mergeCell ref="U110:Y110"/>
    <mergeCell ref="D109:F109"/>
    <mergeCell ref="H109:J109"/>
    <mergeCell ref="L109:M109"/>
    <mergeCell ref="Q109:R109"/>
    <mergeCell ref="S109:T109"/>
    <mergeCell ref="U109:Y109"/>
    <mergeCell ref="D108:F108"/>
    <mergeCell ref="H108:J108"/>
    <mergeCell ref="L108:M108"/>
    <mergeCell ref="Q108:R108"/>
    <mergeCell ref="S108:T108"/>
    <mergeCell ref="U108:Y108"/>
    <mergeCell ref="D107:F107"/>
    <mergeCell ref="H107:J107"/>
    <mergeCell ref="L107:M107"/>
    <mergeCell ref="Q107:R107"/>
    <mergeCell ref="S107:T107"/>
    <mergeCell ref="U107:Y107"/>
    <mergeCell ref="D106:F106"/>
    <mergeCell ref="H106:J106"/>
    <mergeCell ref="L106:M106"/>
    <mergeCell ref="Q106:R106"/>
    <mergeCell ref="S106:T106"/>
    <mergeCell ref="U106:Y106"/>
    <mergeCell ref="D105:F105"/>
    <mergeCell ref="H105:J105"/>
    <mergeCell ref="L105:M105"/>
    <mergeCell ref="Q105:R105"/>
    <mergeCell ref="S105:T105"/>
    <mergeCell ref="U105:Y105"/>
    <mergeCell ref="D104:F104"/>
    <mergeCell ref="H104:J104"/>
    <mergeCell ref="L104:M104"/>
    <mergeCell ref="Q104:R104"/>
    <mergeCell ref="S104:T104"/>
    <mergeCell ref="U104:Y104"/>
    <mergeCell ref="D103:F103"/>
    <mergeCell ref="H103:J103"/>
    <mergeCell ref="L103:M103"/>
    <mergeCell ref="Q103:R103"/>
    <mergeCell ref="S103:T103"/>
    <mergeCell ref="U103:Y103"/>
    <mergeCell ref="D102:F102"/>
    <mergeCell ref="H102:J102"/>
    <mergeCell ref="L102:M102"/>
    <mergeCell ref="Q102:R102"/>
    <mergeCell ref="S102:T102"/>
    <mergeCell ref="U102:Y102"/>
    <mergeCell ref="D101:F101"/>
    <mergeCell ref="H101:J101"/>
    <mergeCell ref="L101:M101"/>
    <mergeCell ref="Q101:R101"/>
    <mergeCell ref="S101:T101"/>
    <mergeCell ref="U101:Y101"/>
    <mergeCell ref="D100:F100"/>
    <mergeCell ref="H100:J100"/>
    <mergeCell ref="L100:M100"/>
    <mergeCell ref="Q100:R100"/>
    <mergeCell ref="S100:T100"/>
    <mergeCell ref="U100:Y100"/>
    <mergeCell ref="D99:F99"/>
    <mergeCell ref="H99:J99"/>
    <mergeCell ref="L99:M99"/>
    <mergeCell ref="Q99:R99"/>
    <mergeCell ref="S99:T99"/>
    <mergeCell ref="U99:Y99"/>
    <mergeCell ref="D98:F98"/>
    <mergeCell ref="H98:J98"/>
    <mergeCell ref="L98:M98"/>
    <mergeCell ref="Q98:R98"/>
    <mergeCell ref="S98:T98"/>
    <mergeCell ref="U98:Y98"/>
    <mergeCell ref="D97:F97"/>
    <mergeCell ref="H97:J97"/>
    <mergeCell ref="L97:M97"/>
    <mergeCell ref="Q97:R97"/>
    <mergeCell ref="S97:T97"/>
    <mergeCell ref="U97:Y97"/>
    <mergeCell ref="D96:F96"/>
    <mergeCell ref="H96:J96"/>
    <mergeCell ref="L96:M96"/>
    <mergeCell ref="Q96:R96"/>
    <mergeCell ref="S96:T96"/>
    <mergeCell ref="U96:Y96"/>
    <mergeCell ref="D95:F95"/>
    <mergeCell ref="H95:J95"/>
    <mergeCell ref="L95:M95"/>
    <mergeCell ref="Q95:R95"/>
    <mergeCell ref="S95:T95"/>
    <mergeCell ref="U95:Y95"/>
    <mergeCell ref="D94:F94"/>
    <mergeCell ref="H94:J94"/>
    <mergeCell ref="L94:M94"/>
    <mergeCell ref="Q94:R94"/>
    <mergeCell ref="S94:T94"/>
    <mergeCell ref="U94:Y94"/>
    <mergeCell ref="D93:F93"/>
    <mergeCell ref="H93:J93"/>
    <mergeCell ref="L93:M93"/>
    <mergeCell ref="Q93:R93"/>
    <mergeCell ref="S93:T93"/>
    <mergeCell ref="U93:Y93"/>
    <mergeCell ref="D92:F92"/>
    <mergeCell ref="H92:J92"/>
    <mergeCell ref="L92:M92"/>
    <mergeCell ref="Q92:R92"/>
    <mergeCell ref="S92:T92"/>
    <mergeCell ref="U92:Y92"/>
    <mergeCell ref="D91:F91"/>
    <mergeCell ref="H91:J91"/>
    <mergeCell ref="L91:M91"/>
    <mergeCell ref="Q91:R91"/>
    <mergeCell ref="S91:T91"/>
    <mergeCell ref="U91:Y91"/>
    <mergeCell ref="D90:F90"/>
    <mergeCell ref="H90:J90"/>
    <mergeCell ref="L90:M90"/>
    <mergeCell ref="Q90:R90"/>
    <mergeCell ref="S90:T90"/>
    <mergeCell ref="U90:Y90"/>
    <mergeCell ref="D89:F89"/>
    <mergeCell ref="H89:J89"/>
    <mergeCell ref="L89:M89"/>
    <mergeCell ref="Q89:R89"/>
    <mergeCell ref="S89:T89"/>
    <mergeCell ref="U89:Y89"/>
    <mergeCell ref="D88:F88"/>
    <mergeCell ref="H88:J88"/>
    <mergeCell ref="L88:M88"/>
    <mergeCell ref="Q88:R88"/>
    <mergeCell ref="S88:T88"/>
    <mergeCell ref="U88:Y88"/>
    <mergeCell ref="D87:F87"/>
    <mergeCell ref="H87:J87"/>
    <mergeCell ref="L87:M87"/>
    <mergeCell ref="Q87:R87"/>
    <mergeCell ref="S87:T87"/>
    <mergeCell ref="U87:Y87"/>
    <mergeCell ref="D86:F86"/>
    <mergeCell ref="H86:J86"/>
    <mergeCell ref="L86:M86"/>
    <mergeCell ref="Q86:R86"/>
    <mergeCell ref="S86:T86"/>
    <mergeCell ref="U86:Y86"/>
    <mergeCell ref="D85:F85"/>
    <mergeCell ref="H85:J85"/>
    <mergeCell ref="L85:M85"/>
    <mergeCell ref="Q85:R85"/>
    <mergeCell ref="S85:T85"/>
    <mergeCell ref="U85:Y85"/>
    <mergeCell ref="D84:F84"/>
    <mergeCell ref="H84:J84"/>
    <mergeCell ref="L84:M84"/>
    <mergeCell ref="Q84:R84"/>
    <mergeCell ref="S84:T84"/>
    <mergeCell ref="U84:Y84"/>
    <mergeCell ref="D83:F83"/>
    <mergeCell ref="H83:J83"/>
    <mergeCell ref="L83:M83"/>
    <mergeCell ref="Q83:R83"/>
    <mergeCell ref="S83:T83"/>
    <mergeCell ref="U83:Y83"/>
    <mergeCell ref="D82:F82"/>
    <mergeCell ref="H82:J82"/>
    <mergeCell ref="L82:M82"/>
    <mergeCell ref="Q82:R82"/>
    <mergeCell ref="S82:T82"/>
    <mergeCell ref="U82:Y82"/>
    <mergeCell ref="D81:F81"/>
    <mergeCell ref="H81:J81"/>
    <mergeCell ref="L81:M81"/>
    <mergeCell ref="Q81:R81"/>
    <mergeCell ref="S81:T81"/>
    <mergeCell ref="U81:Y81"/>
    <mergeCell ref="U79:Y79"/>
    <mergeCell ref="D80:F80"/>
    <mergeCell ref="H80:J80"/>
    <mergeCell ref="L80:M80"/>
    <mergeCell ref="Q80:R80"/>
    <mergeCell ref="S80:T80"/>
    <mergeCell ref="U80:Y80"/>
    <mergeCell ref="A77:Y77"/>
    <mergeCell ref="A78:B78"/>
    <mergeCell ref="E78:G78"/>
    <mergeCell ref="H78:T78"/>
    <mergeCell ref="U78:Y78"/>
    <mergeCell ref="D79:F79"/>
    <mergeCell ref="H79:J79"/>
    <mergeCell ref="L79:M79"/>
    <mergeCell ref="Q79:R79"/>
    <mergeCell ref="S79:T79"/>
    <mergeCell ref="A76:D76"/>
    <mergeCell ref="E76:G76"/>
    <mergeCell ref="H76:M76"/>
    <mergeCell ref="Q76:R76"/>
    <mergeCell ref="S76:T76"/>
    <mergeCell ref="U76:Y76"/>
    <mergeCell ref="D75:F75"/>
    <mergeCell ref="H75:J75"/>
    <mergeCell ref="L75:M75"/>
    <mergeCell ref="Q75:R75"/>
    <mergeCell ref="S75:T75"/>
    <mergeCell ref="U75:Y75"/>
    <mergeCell ref="D74:F74"/>
    <mergeCell ref="H74:J74"/>
    <mergeCell ref="L74:M74"/>
    <mergeCell ref="Q74:R74"/>
    <mergeCell ref="S74:T74"/>
    <mergeCell ref="U74:Y74"/>
    <mergeCell ref="D73:F73"/>
    <mergeCell ref="H73:J73"/>
    <mergeCell ref="L73:M73"/>
    <mergeCell ref="Q73:R73"/>
    <mergeCell ref="S73:T73"/>
    <mergeCell ref="U73:Y73"/>
    <mergeCell ref="D72:F72"/>
    <mergeCell ref="H72:J72"/>
    <mergeCell ref="L72:M72"/>
    <mergeCell ref="Q72:R72"/>
    <mergeCell ref="S72:T72"/>
    <mergeCell ref="U72:Y72"/>
    <mergeCell ref="D71:F71"/>
    <mergeCell ref="H71:J71"/>
    <mergeCell ref="L71:M71"/>
    <mergeCell ref="Q71:R71"/>
    <mergeCell ref="S71:T71"/>
    <mergeCell ref="U71:Y71"/>
    <mergeCell ref="D70:F70"/>
    <mergeCell ref="H70:J70"/>
    <mergeCell ref="L70:M70"/>
    <mergeCell ref="Q70:R70"/>
    <mergeCell ref="S70:T70"/>
    <mergeCell ref="U70:Y70"/>
    <mergeCell ref="D69:F69"/>
    <mergeCell ref="H69:J69"/>
    <mergeCell ref="L69:M69"/>
    <mergeCell ref="Q69:R69"/>
    <mergeCell ref="S69:T69"/>
    <mergeCell ref="U69:Y69"/>
    <mergeCell ref="D68:F68"/>
    <mergeCell ref="H68:J68"/>
    <mergeCell ref="L68:M68"/>
    <mergeCell ref="Q68:R68"/>
    <mergeCell ref="S68:T68"/>
    <mergeCell ref="U68:Y68"/>
    <mergeCell ref="D67:F67"/>
    <mergeCell ref="H67:J67"/>
    <mergeCell ref="L67:M67"/>
    <mergeCell ref="Q67:R67"/>
    <mergeCell ref="S67:T67"/>
    <mergeCell ref="U67:Y67"/>
    <mergeCell ref="D66:F66"/>
    <mergeCell ref="H66:J66"/>
    <mergeCell ref="L66:M66"/>
    <mergeCell ref="Q66:R66"/>
    <mergeCell ref="S66:T66"/>
    <mergeCell ref="U66:Y66"/>
    <mergeCell ref="D65:F65"/>
    <mergeCell ref="H65:J65"/>
    <mergeCell ref="L65:M65"/>
    <mergeCell ref="Q65:R65"/>
    <mergeCell ref="S65:T65"/>
    <mergeCell ref="U65:Y65"/>
    <mergeCell ref="D64:F64"/>
    <mergeCell ref="H64:J64"/>
    <mergeCell ref="L64:M64"/>
    <mergeCell ref="Q64:R64"/>
    <mergeCell ref="S64:T64"/>
    <mergeCell ref="U64:Y64"/>
    <mergeCell ref="D63:F63"/>
    <mergeCell ref="H63:J63"/>
    <mergeCell ref="L63:M63"/>
    <mergeCell ref="Q63:R63"/>
    <mergeCell ref="S63:T63"/>
    <mergeCell ref="U63:Y63"/>
    <mergeCell ref="D62:F62"/>
    <mergeCell ref="H62:J62"/>
    <mergeCell ref="L62:M62"/>
    <mergeCell ref="Q62:R62"/>
    <mergeCell ref="S62:T62"/>
    <mergeCell ref="U62:Y62"/>
    <mergeCell ref="D61:F61"/>
    <mergeCell ref="H61:J61"/>
    <mergeCell ref="L61:M61"/>
    <mergeCell ref="Q61:R61"/>
    <mergeCell ref="S61:T61"/>
    <mergeCell ref="U61:Y61"/>
    <mergeCell ref="D60:F60"/>
    <mergeCell ref="H60:J60"/>
    <mergeCell ref="L60:M60"/>
    <mergeCell ref="Q60:R60"/>
    <mergeCell ref="S60:T60"/>
    <mergeCell ref="U60:Y60"/>
    <mergeCell ref="D59:F59"/>
    <mergeCell ref="H59:J59"/>
    <mergeCell ref="L59:M59"/>
    <mergeCell ref="Q59:R59"/>
    <mergeCell ref="S59:T59"/>
    <mergeCell ref="U59:Y59"/>
    <mergeCell ref="U57:Y57"/>
    <mergeCell ref="D58:F58"/>
    <mergeCell ref="H58:J58"/>
    <mergeCell ref="L58:M58"/>
    <mergeCell ref="Q58:R58"/>
    <mergeCell ref="S58:T58"/>
    <mergeCell ref="U58:Y58"/>
    <mergeCell ref="A55:Y55"/>
    <mergeCell ref="A56:B56"/>
    <mergeCell ref="E56:G56"/>
    <mergeCell ref="H56:T56"/>
    <mergeCell ref="U56:Y56"/>
    <mergeCell ref="D57:F57"/>
    <mergeCell ref="H57:J57"/>
    <mergeCell ref="L57:M57"/>
    <mergeCell ref="Q57:R57"/>
    <mergeCell ref="S57:T57"/>
    <mergeCell ref="A54:D54"/>
    <mergeCell ref="E54:G54"/>
    <mergeCell ref="H54:M54"/>
    <mergeCell ref="Q54:R54"/>
    <mergeCell ref="S54:T54"/>
    <mergeCell ref="U54:Y54"/>
    <mergeCell ref="D53:F53"/>
    <mergeCell ref="H53:J53"/>
    <mergeCell ref="L53:M53"/>
    <mergeCell ref="Q53:R53"/>
    <mergeCell ref="S53:T53"/>
    <mergeCell ref="U53:Y53"/>
    <mergeCell ref="D52:F52"/>
    <mergeCell ref="H52:J52"/>
    <mergeCell ref="L52:M52"/>
    <mergeCell ref="Q52:R52"/>
    <mergeCell ref="S52:T52"/>
    <mergeCell ref="U52:Y52"/>
    <mergeCell ref="D51:F51"/>
    <mergeCell ref="H51:J51"/>
    <mergeCell ref="L51:M51"/>
    <mergeCell ref="Q51:R51"/>
    <mergeCell ref="S51:T51"/>
    <mergeCell ref="U51:Y51"/>
    <mergeCell ref="D50:F50"/>
    <mergeCell ref="H50:J50"/>
    <mergeCell ref="L50:M50"/>
    <mergeCell ref="Q50:R50"/>
    <mergeCell ref="S50:T50"/>
    <mergeCell ref="U50:Y50"/>
    <mergeCell ref="D49:F49"/>
    <mergeCell ref="H49:J49"/>
    <mergeCell ref="L49:M49"/>
    <mergeCell ref="Q49:R49"/>
    <mergeCell ref="S49:T49"/>
    <mergeCell ref="U49:Y49"/>
    <mergeCell ref="D48:F48"/>
    <mergeCell ref="H48:J48"/>
    <mergeCell ref="L48:M48"/>
    <mergeCell ref="Q48:R48"/>
    <mergeCell ref="S48:T48"/>
    <mergeCell ref="U48:Y48"/>
    <mergeCell ref="D47:F47"/>
    <mergeCell ref="H47:J47"/>
    <mergeCell ref="L47:M47"/>
    <mergeCell ref="Q47:R47"/>
    <mergeCell ref="S47:T47"/>
    <mergeCell ref="U47:Y47"/>
    <mergeCell ref="D46:F46"/>
    <mergeCell ref="H46:J46"/>
    <mergeCell ref="L46:M46"/>
    <mergeCell ref="Q46:R46"/>
    <mergeCell ref="S46:T46"/>
    <mergeCell ref="U46:Y46"/>
    <mergeCell ref="D45:F45"/>
    <mergeCell ref="H45:J45"/>
    <mergeCell ref="L45:M45"/>
    <mergeCell ref="Q45:R45"/>
    <mergeCell ref="S45:T45"/>
    <mergeCell ref="U45:Y45"/>
    <mergeCell ref="D44:F44"/>
    <mergeCell ref="H44:J44"/>
    <mergeCell ref="L44:M44"/>
    <mergeCell ref="Q44:R44"/>
    <mergeCell ref="S44:T44"/>
    <mergeCell ref="U44:Y44"/>
    <mergeCell ref="U42:Y42"/>
    <mergeCell ref="D43:F43"/>
    <mergeCell ref="H43:J43"/>
    <mergeCell ref="L43:M43"/>
    <mergeCell ref="Q43:R43"/>
    <mergeCell ref="S43:T43"/>
    <mergeCell ref="U43:Y43"/>
    <mergeCell ref="A40:Y40"/>
    <mergeCell ref="A41:B41"/>
    <mergeCell ref="E41:G41"/>
    <mergeCell ref="H41:T41"/>
    <mergeCell ref="U41:Y41"/>
    <mergeCell ref="D42:F42"/>
    <mergeCell ref="H42:J42"/>
    <mergeCell ref="L42:M42"/>
    <mergeCell ref="Q42:R42"/>
    <mergeCell ref="S42:T42"/>
    <mergeCell ref="U38:Y38"/>
    <mergeCell ref="A39:D39"/>
    <mergeCell ref="E39:G39"/>
    <mergeCell ref="H39:M39"/>
    <mergeCell ref="Q39:R39"/>
    <mergeCell ref="S39:T39"/>
    <mergeCell ref="U39:Y39"/>
    <mergeCell ref="A36:Y36"/>
    <mergeCell ref="A37:B37"/>
    <mergeCell ref="E37:G37"/>
    <mergeCell ref="H37:T37"/>
    <mergeCell ref="U37:Y37"/>
    <mergeCell ref="D38:F38"/>
    <mergeCell ref="H38:J38"/>
    <mergeCell ref="L38:M38"/>
    <mergeCell ref="Q38:R38"/>
    <mergeCell ref="S38:T38"/>
    <mergeCell ref="U34:Y34"/>
    <mergeCell ref="A35:D35"/>
    <mergeCell ref="E35:G35"/>
    <mergeCell ref="H35:M35"/>
    <mergeCell ref="Q35:R35"/>
    <mergeCell ref="S35:T35"/>
    <mergeCell ref="U35:Y35"/>
    <mergeCell ref="A32:Y32"/>
    <mergeCell ref="A33:B33"/>
    <mergeCell ref="E33:G33"/>
    <mergeCell ref="H33:T33"/>
    <mergeCell ref="U33:Y33"/>
    <mergeCell ref="D34:F34"/>
    <mergeCell ref="H34:J34"/>
    <mergeCell ref="L34:M34"/>
    <mergeCell ref="Q34:R34"/>
    <mergeCell ref="S34:T34"/>
    <mergeCell ref="A31:D31"/>
    <mergeCell ref="E31:G31"/>
    <mergeCell ref="H31:M31"/>
    <mergeCell ref="Q31:R31"/>
    <mergeCell ref="S31:T31"/>
    <mergeCell ref="U31:Y31"/>
    <mergeCell ref="U29:Y29"/>
    <mergeCell ref="D30:F30"/>
    <mergeCell ref="H30:J30"/>
    <mergeCell ref="L30:M30"/>
    <mergeCell ref="Q30:R30"/>
    <mergeCell ref="S30:T30"/>
    <mergeCell ref="U30:Y30"/>
    <mergeCell ref="A27:Y27"/>
    <mergeCell ref="A28:B28"/>
    <mergeCell ref="E28:G28"/>
    <mergeCell ref="H28:T28"/>
    <mergeCell ref="U28:Y28"/>
    <mergeCell ref="D29:F29"/>
    <mergeCell ref="H29:J29"/>
    <mergeCell ref="L29:M29"/>
    <mergeCell ref="Q29:R29"/>
    <mergeCell ref="S29:T29"/>
    <mergeCell ref="A26:D26"/>
    <mergeCell ref="E26:G26"/>
    <mergeCell ref="H26:M26"/>
    <mergeCell ref="Q26:R26"/>
    <mergeCell ref="S26:T26"/>
    <mergeCell ref="U26:Y26"/>
    <mergeCell ref="D25:F25"/>
    <mergeCell ref="H25:J25"/>
    <mergeCell ref="L25:M25"/>
    <mergeCell ref="Q25:R25"/>
    <mergeCell ref="S25:T25"/>
    <mergeCell ref="U25:Y25"/>
    <mergeCell ref="D24:F24"/>
    <mergeCell ref="H24:J24"/>
    <mergeCell ref="L24:M24"/>
    <mergeCell ref="Q24:R24"/>
    <mergeCell ref="S24:T24"/>
    <mergeCell ref="U24:Y24"/>
    <mergeCell ref="D23:F23"/>
    <mergeCell ref="H23:J23"/>
    <mergeCell ref="L23:M23"/>
    <mergeCell ref="Q23:R23"/>
    <mergeCell ref="S23:T23"/>
    <mergeCell ref="U23:Y23"/>
    <mergeCell ref="U21:Y21"/>
    <mergeCell ref="D22:F22"/>
    <mergeCell ref="H22:J22"/>
    <mergeCell ref="L22:M22"/>
    <mergeCell ref="Q22:R22"/>
    <mergeCell ref="S22:T22"/>
    <mergeCell ref="U22:Y22"/>
    <mergeCell ref="A19:Y19"/>
    <mergeCell ref="A20:B20"/>
    <mergeCell ref="E20:G20"/>
    <mergeCell ref="H20:T20"/>
    <mergeCell ref="U20:Y20"/>
    <mergeCell ref="D21:F21"/>
    <mergeCell ref="H21:J21"/>
    <mergeCell ref="L21:M21"/>
    <mergeCell ref="Q21:R21"/>
    <mergeCell ref="S21:T21"/>
    <mergeCell ref="U17:Y17"/>
    <mergeCell ref="A18:D18"/>
    <mergeCell ref="E18:G18"/>
    <mergeCell ref="H18:M18"/>
    <mergeCell ref="Q18:R18"/>
    <mergeCell ref="S18:T18"/>
    <mergeCell ref="U18:Y18"/>
    <mergeCell ref="A1:E1"/>
    <mergeCell ref="T1:W1"/>
    <mergeCell ref="A2:E2"/>
    <mergeCell ref="A4:E4"/>
    <mergeCell ref="R4:W4"/>
    <mergeCell ref="A6:I6"/>
    <mergeCell ref="A15:Y15"/>
    <mergeCell ref="A16:B16"/>
    <mergeCell ref="E16:G16"/>
    <mergeCell ref="H16:T16"/>
    <mergeCell ref="U16:Y16"/>
    <mergeCell ref="D17:F17"/>
    <mergeCell ref="H17:J17"/>
    <mergeCell ref="L17:M17"/>
    <mergeCell ref="Q17:R17"/>
    <mergeCell ref="S17:T17"/>
    <mergeCell ref="A14:Y14"/>
    <mergeCell ref="A8:L8"/>
    <mergeCell ref="A9:H9"/>
    <mergeCell ref="I9:L9"/>
    <mergeCell ref="H12:Y12"/>
    <mergeCell ref="D13:F13"/>
    <mergeCell ref="H13:J13"/>
    <mergeCell ref="L13:M13"/>
    <mergeCell ref="Q13:R13"/>
    <mergeCell ref="S13:T13"/>
    <mergeCell ref="U13:Y13"/>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CAD3-1BA6-4CD0-B592-9A8BA6741F4D}">
  <sheetPr>
    <tabColor theme="7"/>
  </sheetPr>
  <dimension ref="A1:AB253"/>
  <sheetViews>
    <sheetView showGridLines="0" zoomScale="120" zoomScaleNormal="120" workbookViewId="0">
      <pane ySplit="7" topLeftCell="A56" activePane="bottomLeft" state="frozen"/>
      <selection pane="bottomLeft" activeCell="P58" sqref="P58"/>
    </sheetView>
  </sheetViews>
  <sheetFormatPr defaultColWidth="9.140625" defaultRowHeight="15" x14ac:dyDescent="0.25"/>
  <cols>
    <col min="1" max="1" width="8.140625" style="463" customWidth="1"/>
    <col min="2" max="4" width="8.85546875" style="463" customWidth="1"/>
    <col min="5" max="5" width="25.28515625" style="463" customWidth="1"/>
    <col min="6" max="6" width="6.7109375" style="463" customWidth="1"/>
    <col min="7" max="7" width="17.28515625" style="463" customWidth="1"/>
    <col min="8" max="8" width="3.85546875" style="463" customWidth="1"/>
    <col min="9" max="9" width="0.140625" style="463" customWidth="1"/>
    <col min="10" max="10" width="15" style="463" customWidth="1"/>
    <col min="11" max="11" width="8.85546875" style="463" customWidth="1"/>
    <col min="12" max="12" width="6.7109375" style="463" customWidth="1"/>
    <col min="13" max="13" width="2.140625" style="463" customWidth="1"/>
    <col min="14" max="14" width="7.85546875" style="463" customWidth="1"/>
    <col min="15" max="15" width="8.5703125" style="463" customWidth="1"/>
    <col min="16" max="16" width="9.140625" style="463" customWidth="1"/>
    <col min="17" max="17" width="8.5703125" style="463" customWidth="1"/>
    <col min="18" max="19" width="0.28515625" style="463" customWidth="1"/>
    <col min="20" max="20" width="9.28515625" style="463" customWidth="1"/>
    <col min="21" max="21" width="1.28515625" style="463" customWidth="1"/>
    <col min="22" max="22" width="4" style="463" customWidth="1"/>
    <col min="23" max="23" width="2.42578125" style="463" customWidth="1"/>
    <col min="24" max="24" width="0" style="463" hidden="1" customWidth="1"/>
    <col min="25" max="25" width="1.5703125" style="463" customWidth="1"/>
    <col min="26" max="26" width="0" style="463" hidden="1" customWidth="1"/>
    <col min="27" max="27" width="0.28515625" style="463" customWidth="1"/>
    <col min="28" max="28" width="11.28515625" style="463" bestFit="1" customWidth="1"/>
    <col min="29" max="16384" width="9.140625" style="463"/>
  </cols>
  <sheetData>
    <row r="1" spans="1:25" ht="12" customHeight="1" x14ac:dyDescent="0.25">
      <c r="A1" s="827" t="s">
        <v>285</v>
      </c>
      <c r="B1" s="828"/>
      <c r="C1" s="828"/>
      <c r="D1" s="828"/>
      <c r="E1" s="828"/>
      <c r="F1" s="445"/>
      <c r="G1" s="445"/>
      <c r="H1" s="445"/>
      <c r="I1" s="445"/>
      <c r="J1" s="445"/>
      <c r="K1" s="445"/>
      <c r="L1" s="445"/>
      <c r="M1" s="445"/>
      <c r="N1" s="445"/>
      <c r="O1" s="445"/>
      <c r="P1" s="445"/>
      <c r="Q1" s="445"/>
      <c r="R1" s="445"/>
      <c r="S1" s="445"/>
      <c r="T1" s="829" t="s">
        <v>698</v>
      </c>
      <c r="U1" s="828"/>
      <c r="V1" s="828"/>
      <c r="W1" s="828"/>
      <c r="X1" s="445"/>
      <c r="Y1" s="445"/>
    </row>
    <row r="2" spans="1:25" ht="12" customHeight="1" x14ac:dyDescent="0.25">
      <c r="A2" s="830" t="s">
        <v>699</v>
      </c>
      <c r="B2" s="828"/>
      <c r="C2" s="828"/>
      <c r="D2" s="828"/>
      <c r="E2" s="828"/>
      <c r="F2" s="445"/>
      <c r="G2" s="445"/>
      <c r="H2" s="445"/>
      <c r="I2" s="445"/>
      <c r="J2" s="445"/>
      <c r="K2" s="445"/>
      <c r="L2" s="445"/>
      <c r="M2" s="445"/>
      <c r="N2" s="445"/>
      <c r="O2" s="445"/>
      <c r="P2" s="445"/>
      <c r="Q2" s="445"/>
      <c r="R2" s="445"/>
      <c r="S2" s="445"/>
      <c r="T2" s="445"/>
      <c r="U2" s="445"/>
      <c r="V2" s="446" t="s">
        <v>288</v>
      </c>
      <c r="W2" s="447">
        <v>1</v>
      </c>
      <c r="X2" s="445"/>
      <c r="Y2" s="445"/>
    </row>
    <row r="3" spans="1:25" ht="0" hidden="1" customHeight="1" x14ac:dyDescent="0.25">
      <c r="A3" s="445"/>
      <c r="B3" s="445"/>
      <c r="C3" s="445"/>
      <c r="D3" s="445"/>
      <c r="E3" s="445"/>
      <c r="F3" s="445"/>
      <c r="G3" s="445"/>
      <c r="H3" s="445"/>
      <c r="I3" s="445"/>
      <c r="J3" s="445"/>
      <c r="K3" s="445"/>
      <c r="L3" s="445"/>
      <c r="M3" s="445"/>
      <c r="N3" s="445"/>
      <c r="O3" s="445"/>
      <c r="P3" s="445"/>
      <c r="Q3" s="445"/>
      <c r="R3" s="445"/>
      <c r="S3" s="445"/>
      <c r="T3" s="445"/>
      <c r="U3" s="445"/>
      <c r="V3" s="445"/>
      <c r="W3" s="445"/>
      <c r="X3" s="445"/>
      <c r="Y3" s="445"/>
    </row>
    <row r="4" spans="1:25" ht="12" customHeight="1" x14ac:dyDescent="0.25">
      <c r="A4" s="830" t="s">
        <v>289</v>
      </c>
      <c r="B4" s="828"/>
      <c r="C4" s="828"/>
      <c r="D4" s="828"/>
      <c r="E4" s="828"/>
      <c r="F4" s="445"/>
      <c r="G4" s="445"/>
      <c r="H4" s="445"/>
      <c r="I4" s="445"/>
      <c r="J4" s="445"/>
      <c r="K4" s="445"/>
      <c r="L4" s="445"/>
      <c r="M4" s="445"/>
      <c r="N4" s="445"/>
      <c r="O4" s="445"/>
      <c r="P4" s="445"/>
      <c r="Q4" s="445"/>
      <c r="R4" s="829" t="s">
        <v>290</v>
      </c>
      <c r="S4" s="828"/>
      <c r="T4" s="828"/>
      <c r="U4" s="828"/>
      <c r="V4" s="828"/>
      <c r="W4" s="828"/>
      <c r="X4" s="445"/>
      <c r="Y4" s="445"/>
    </row>
    <row r="5" spans="1:25" ht="9.1999999999999993" customHeight="1" x14ac:dyDescent="0.25">
      <c r="A5" s="445"/>
      <c r="B5" s="445"/>
      <c r="C5" s="445"/>
      <c r="D5" s="445"/>
      <c r="E5" s="445"/>
      <c r="F5" s="445"/>
      <c r="G5" s="445"/>
      <c r="H5" s="445"/>
      <c r="I5" s="445"/>
      <c r="J5" s="445"/>
      <c r="K5" s="445"/>
      <c r="L5" s="445"/>
      <c r="M5" s="445"/>
      <c r="N5" s="445"/>
      <c r="O5" s="445"/>
      <c r="P5" s="445"/>
      <c r="Q5" s="445"/>
      <c r="R5" s="445"/>
      <c r="S5" s="445"/>
      <c r="T5" s="445"/>
      <c r="U5" s="445"/>
      <c r="V5" s="445"/>
      <c r="W5" s="445"/>
      <c r="X5" s="445"/>
      <c r="Y5" s="445"/>
    </row>
    <row r="6" spans="1:25" ht="12" customHeight="1" x14ac:dyDescent="0.25">
      <c r="A6" s="831" t="s">
        <v>291</v>
      </c>
      <c r="B6" s="828"/>
      <c r="C6" s="828"/>
      <c r="D6" s="828"/>
      <c r="E6" s="828"/>
      <c r="F6" s="828"/>
      <c r="G6" s="828"/>
      <c r="H6" s="828"/>
      <c r="I6" s="828"/>
      <c r="J6" s="445"/>
      <c r="K6" s="445"/>
      <c r="L6" s="445"/>
      <c r="M6" s="445"/>
      <c r="N6" s="445"/>
      <c r="O6" s="445"/>
      <c r="P6" s="445"/>
      <c r="Q6" s="445"/>
      <c r="R6" s="445"/>
      <c r="S6" s="445"/>
      <c r="T6" s="445"/>
      <c r="U6" s="445"/>
      <c r="V6" s="445"/>
      <c r="W6" s="445"/>
      <c r="X6" s="445"/>
      <c r="Y6" s="445"/>
    </row>
    <row r="7" spans="1:25" ht="15" customHeight="1" x14ac:dyDescent="0.25">
      <c r="A7" s="445"/>
      <c r="B7" s="445"/>
      <c r="C7" s="445"/>
      <c r="D7" s="445"/>
      <c r="E7" s="445"/>
      <c r="F7" s="445"/>
      <c r="G7" s="445"/>
      <c r="H7" s="445"/>
      <c r="I7" s="445"/>
      <c r="J7" s="445"/>
      <c r="K7" s="445"/>
      <c r="L7" s="445"/>
      <c r="M7" s="445"/>
      <c r="N7" s="445"/>
      <c r="O7" s="445"/>
      <c r="P7" s="445"/>
      <c r="Q7" s="445"/>
      <c r="R7" s="445"/>
      <c r="S7" s="445"/>
      <c r="T7" s="445"/>
      <c r="U7" s="445"/>
      <c r="V7" s="445"/>
      <c r="W7" s="445"/>
      <c r="X7" s="445"/>
      <c r="Y7" s="445"/>
    </row>
    <row r="8" spans="1:25" ht="12" customHeight="1" x14ac:dyDescent="0.25">
      <c r="A8" s="831" t="s">
        <v>700</v>
      </c>
      <c r="B8" s="828"/>
      <c r="C8" s="828"/>
      <c r="D8" s="828"/>
      <c r="E8" s="828"/>
      <c r="F8" s="828"/>
      <c r="G8" s="828"/>
      <c r="H8" s="828"/>
      <c r="I8" s="828"/>
      <c r="J8" s="828"/>
      <c r="K8" s="828"/>
      <c r="L8" s="828"/>
      <c r="M8" s="445"/>
      <c r="N8" s="445"/>
      <c r="O8" s="445"/>
      <c r="P8" s="445"/>
      <c r="Q8" s="445"/>
      <c r="R8" s="445"/>
      <c r="S8" s="445"/>
      <c r="T8" s="445"/>
      <c r="U8" s="445"/>
      <c r="V8" s="445"/>
      <c r="W8" s="445"/>
      <c r="X8" s="445"/>
      <c r="Y8" s="445"/>
    </row>
    <row r="9" spans="1:25" ht="12" customHeight="1" x14ac:dyDescent="0.25">
      <c r="A9" s="833" t="s">
        <v>293</v>
      </c>
      <c r="B9" s="828"/>
      <c r="C9" s="828"/>
      <c r="D9" s="828"/>
      <c r="E9" s="828"/>
      <c r="F9" s="828"/>
      <c r="G9" s="828"/>
      <c r="H9" s="828"/>
      <c r="I9" s="833" t="s">
        <v>293</v>
      </c>
      <c r="J9" s="828"/>
      <c r="K9" s="828"/>
      <c r="L9" s="828"/>
      <c r="M9" s="445"/>
      <c r="N9" s="445"/>
      <c r="O9" s="445"/>
      <c r="P9" s="445"/>
      <c r="Q9" s="445"/>
      <c r="R9" s="445"/>
      <c r="S9" s="445"/>
      <c r="T9" s="445"/>
      <c r="U9" s="445"/>
      <c r="V9" s="445"/>
      <c r="W9" s="445"/>
      <c r="X9" s="445"/>
      <c r="Y9" s="445"/>
    </row>
    <row r="10" spans="1:25" ht="0" hidden="1" customHeight="1" x14ac:dyDescent="0.25">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row>
    <row r="11" spans="1:25" ht="6" customHeight="1" x14ac:dyDescent="0.25">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row>
    <row r="12" spans="1:25" ht="2.25" customHeight="1" x14ac:dyDescent="0.25">
      <c r="A12" s="445"/>
      <c r="B12" s="445"/>
      <c r="C12" s="445"/>
      <c r="D12" s="445"/>
      <c r="E12" s="445"/>
      <c r="F12" s="445"/>
      <c r="G12" s="445"/>
      <c r="H12" s="832" t="s">
        <v>293</v>
      </c>
      <c r="I12" s="828"/>
      <c r="J12" s="828"/>
      <c r="K12" s="828"/>
      <c r="L12" s="828"/>
      <c r="M12" s="828"/>
      <c r="N12" s="828"/>
      <c r="O12" s="828"/>
      <c r="P12" s="828"/>
      <c r="Q12" s="828"/>
      <c r="R12" s="828"/>
      <c r="S12" s="828"/>
      <c r="T12" s="828"/>
      <c r="U12" s="828"/>
      <c r="V12" s="828"/>
      <c r="W12" s="828"/>
      <c r="X12" s="828"/>
      <c r="Y12" s="828"/>
    </row>
    <row r="13" spans="1:25" ht="19.5" x14ac:dyDescent="0.25">
      <c r="A13" s="448" t="s">
        <v>294</v>
      </c>
      <c r="B13" s="448" t="s">
        <v>295</v>
      </c>
      <c r="C13" s="448" t="s">
        <v>296</v>
      </c>
      <c r="D13" s="832" t="s">
        <v>185</v>
      </c>
      <c r="E13" s="828"/>
      <c r="F13" s="828"/>
      <c r="G13" s="448" t="s">
        <v>297</v>
      </c>
      <c r="H13" s="832" t="s">
        <v>298</v>
      </c>
      <c r="I13" s="828"/>
      <c r="J13" s="828"/>
      <c r="K13" s="448" t="s">
        <v>299</v>
      </c>
      <c r="L13" s="832" t="s">
        <v>300</v>
      </c>
      <c r="M13" s="828"/>
      <c r="N13" s="448" t="s">
        <v>301</v>
      </c>
      <c r="O13" s="448" t="s">
        <v>302</v>
      </c>
      <c r="P13" s="448" t="s">
        <v>303</v>
      </c>
      <c r="Q13" s="834" t="s">
        <v>304</v>
      </c>
      <c r="R13" s="828"/>
      <c r="S13" s="834" t="s">
        <v>305</v>
      </c>
      <c r="T13" s="828"/>
      <c r="U13" s="834" t="s">
        <v>306</v>
      </c>
      <c r="V13" s="828"/>
      <c r="W13" s="828"/>
      <c r="X13" s="828"/>
      <c r="Y13" s="828"/>
    </row>
    <row r="14" spans="1:25" ht="12" customHeight="1" x14ac:dyDescent="0.25">
      <c r="A14" s="832" t="s">
        <v>293</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row>
    <row r="15" spans="1:25" ht="12" customHeight="1" x14ac:dyDescent="0.25">
      <c r="A15" s="831" t="s">
        <v>307</v>
      </c>
      <c r="B15" s="828"/>
      <c r="C15" s="449" t="s">
        <v>293</v>
      </c>
      <c r="D15" s="449" t="s">
        <v>701</v>
      </c>
      <c r="E15" s="831" t="s">
        <v>702</v>
      </c>
      <c r="F15" s="828"/>
      <c r="G15" s="828"/>
      <c r="H15" s="831" t="s">
        <v>293</v>
      </c>
      <c r="I15" s="828"/>
      <c r="J15" s="828"/>
      <c r="K15" s="828"/>
      <c r="L15" s="828"/>
      <c r="M15" s="828"/>
      <c r="N15" s="828"/>
      <c r="O15" s="828"/>
      <c r="P15" s="828"/>
      <c r="Q15" s="828"/>
      <c r="R15" s="828"/>
      <c r="S15" s="828"/>
      <c r="T15" s="828"/>
      <c r="U15" s="843">
        <v>3686282.54</v>
      </c>
      <c r="V15" s="828"/>
      <c r="W15" s="828"/>
      <c r="X15" s="828"/>
      <c r="Y15" s="828"/>
    </row>
    <row r="16" spans="1:25" x14ac:dyDescent="0.25">
      <c r="A16" s="450" t="s">
        <v>703</v>
      </c>
      <c r="B16" s="446" t="s">
        <v>325</v>
      </c>
      <c r="C16" s="450" t="s">
        <v>704</v>
      </c>
      <c r="D16" s="840" t="s">
        <v>705</v>
      </c>
      <c r="E16" s="828"/>
      <c r="F16" s="828"/>
      <c r="G16" s="446" t="s">
        <v>293</v>
      </c>
      <c r="H16" s="830" t="s">
        <v>293</v>
      </c>
      <c r="I16" s="828"/>
      <c r="J16" s="828"/>
      <c r="K16" s="446" t="s">
        <v>316</v>
      </c>
      <c r="L16" s="830" t="s">
        <v>317</v>
      </c>
      <c r="M16" s="828"/>
      <c r="N16" s="446" t="s">
        <v>318</v>
      </c>
      <c r="O16" s="446" t="s">
        <v>293</v>
      </c>
      <c r="P16" s="446" t="s">
        <v>293</v>
      </c>
      <c r="Q16" s="841">
        <v>0</v>
      </c>
      <c r="R16" s="828"/>
      <c r="S16" s="841">
        <v>-5260.94</v>
      </c>
      <c r="T16" s="828"/>
      <c r="U16" s="842">
        <v>3681021.6</v>
      </c>
      <c r="V16" s="828"/>
      <c r="W16" s="828"/>
      <c r="X16" s="828"/>
      <c r="Y16" s="828"/>
    </row>
    <row r="17" spans="1:25" x14ac:dyDescent="0.25">
      <c r="A17" s="450" t="s">
        <v>703</v>
      </c>
      <c r="B17" s="446" t="s">
        <v>325</v>
      </c>
      <c r="C17" s="450" t="s">
        <v>706</v>
      </c>
      <c r="D17" s="840" t="s">
        <v>707</v>
      </c>
      <c r="E17" s="828"/>
      <c r="F17" s="828"/>
      <c r="G17" s="446" t="s">
        <v>293</v>
      </c>
      <c r="H17" s="830" t="s">
        <v>293</v>
      </c>
      <c r="I17" s="828"/>
      <c r="J17" s="828"/>
      <c r="K17" s="446" t="s">
        <v>316</v>
      </c>
      <c r="L17" s="830" t="s">
        <v>317</v>
      </c>
      <c r="M17" s="828"/>
      <c r="N17" s="446" t="s">
        <v>318</v>
      </c>
      <c r="O17" s="446" t="s">
        <v>293</v>
      </c>
      <c r="P17" s="446" t="s">
        <v>293</v>
      </c>
      <c r="Q17" s="841">
        <v>0</v>
      </c>
      <c r="R17" s="828"/>
      <c r="S17" s="841">
        <v>-15622.29</v>
      </c>
      <c r="T17" s="828"/>
      <c r="U17" s="842">
        <v>3665399.31</v>
      </c>
      <c r="V17" s="828"/>
      <c r="W17" s="828"/>
      <c r="X17" s="828"/>
      <c r="Y17" s="828"/>
    </row>
    <row r="18" spans="1:25" x14ac:dyDescent="0.25">
      <c r="A18" s="450" t="s">
        <v>708</v>
      </c>
      <c r="B18" s="446" t="s">
        <v>325</v>
      </c>
      <c r="C18" s="450" t="s">
        <v>709</v>
      </c>
      <c r="D18" s="840" t="s">
        <v>710</v>
      </c>
      <c r="E18" s="828"/>
      <c r="F18" s="828"/>
      <c r="G18" s="446" t="s">
        <v>293</v>
      </c>
      <c r="H18" s="830" t="s">
        <v>293</v>
      </c>
      <c r="I18" s="828"/>
      <c r="J18" s="828"/>
      <c r="K18" s="446" t="s">
        <v>316</v>
      </c>
      <c r="L18" s="830" t="s">
        <v>317</v>
      </c>
      <c r="M18" s="828"/>
      <c r="N18" s="446" t="s">
        <v>318</v>
      </c>
      <c r="O18" s="446" t="s">
        <v>293</v>
      </c>
      <c r="P18" s="446" t="s">
        <v>293</v>
      </c>
      <c r="Q18" s="841">
        <v>0</v>
      </c>
      <c r="R18" s="828"/>
      <c r="S18" s="841">
        <v>18270.72</v>
      </c>
      <c r="T18" s="828"/>
      <c r="U18" s="842">
        <v>3683670.03</v>
      </c>
      <c r="V18" s="828"/>
      <c r="W18" s="828"/>
      <c r="X18" s="828"/>
      <c r="Y18" s="828"/>
    </row>
    <row r="19" spans="1:25" x14ac:dyDescent="0.25">
      <c r="A19" s="450" t="s">
        <v>711</v>
      </c>
      <c r="B19" s="446" t="s">
        <v>325</v>
      </c>
      <c r="C19" s="450" t="s">
        <v>712</v>
      </c>
      <c r="D19" s="840" t="s">
        <v>713</v>
      </c>
      <c r="E19" s="828"/>
      <c r="F19" s="828"/>
      <c r="G19" s="446" t="s">
        <v>293</v>
      </c>
      <c r="H19" s="830" t="s">
        <v>293</v>
      </c>
      <c r="I19" s="828"/>
      <c r="J19" s="828"/>
      <c r="K19" s="446" t="s">
        <v>316</v>
      </c>
      <c r="L19" s="830" t="s">
        <v>317</v>
      </c>
      <c r="M19" s="828"/>
      <c r="N19" s="446" t="s">
        <v>318</v>
      </c>
      <c r="O19" s="446" t="s">
        <v>293</v>
      </c>
      <c r="P19" s="446" t="s">
        <v>293</v>
      </c>
      <c r="Q19" s="841">
        <v>0</v>
      </c>
      <c r="R19" s="828"/>
      <c r="S19" s="841">
        <v>18260.46</v>
      </c>
      <c r="T19" s="828"/>
      <c r="U19" s="842">
        <v>3701930.49</v>
      </c>
      <c r="V19" s="828"/>
      <c r="W19" s="828"/>
      <c r="X19" s="828"/>
      <c r="Y19" s="828"/>
    </row>
    <row r="20" spans="1:25" x14ac:dyDescent="0.25">
      <c r="A20" s="450" t="s">
        <v>714</v>
      </c>
      <c r="B20" s="446" t="s">
        <v>325</v>
      </c>
      <c r="C20" s="450" t="s">
        <v>715</v>
      </c>
      <c r="D20" s="840" t="s">
        <v>716</v>
      </c>
      <c r="E20" s="828"/>
      <c r="F20" s="828"/>
      <c r="G20" s="446" t="s">
        <v>293</v>
      </c>
      <c r="H20" s="830" t="s">
        <v>293</v>
      </c>
      <c r="I20" s="828"/>
      <c r="J20" s="828"/>
      <c r="K20" s="446" t="s">
        <v>316</v>
      </c>
      <c r="L20" s="830" t="s">
        <v>317</v>
      </c>
      <c r="M20" s="828"/>
      <c r="N20" s="446" t="s">
        <v>318</v>
      </c>
      <c r="O20" s="446" t="s">
        <v>293</v>
      </c>
      <c r="P20" s="446" t="s">
        <v>293</v>
      </c>
      <c r="Q20" s="841">
        <v>0</v>
      </c>
      <c r="R20" s="828"/>
      <c r="S20" s="841">
        <v>10725.5</v>
      </c>
      <c r="T20" s="828"/>
      <c r="U20" s="842">
        <v>3712655.99</v>
      </c>
      <c r="V20" s="828"/>
      <c r="W20" s="828"/>
      <c r="X20" s="828"/>
      <c r="Y20" s="828"/>
    </row>
    <row r="21" spans="1:25" x14ac:dyDescent="0.25">
      <c r="A21" s="450" t="s">
        <v>714</v>
      </c>
      <c r="B21" s="446" t="s">
        <v>325</v>
      </c>
      <c r="C21" s="450" t="s">
        <v>717</v>
      </c>
      <c r="D21" s="840" t="s">
        <v>718</v>
      </c>
      <c r="E21" s="828"/>
      <c r="F21" s="828"/>
      <c r="G21" s="446" t="s">
        <v>293</v>
      </c>
      <c r="H21" s="830" t="s">
        <v>293</v>
      </c>
      <c r="I21" s="828"/>
      <c r="J21" s="828"/>
      <c r="K21" s="446" t="s">
        <v>316</v>
      </c>
      <c r="L21" s="830" t="s">
        <v>317</v>
      </c>
      <c r="M21" s="828"/>
      <c r="N21" s="446" t="s">
        <v>318</v>
      </c>
      <c r="O21" s="446" t="s">
        <v>293</v>
      </c>
      <c r="P21" s="446" t="s">
        <v>293</v>
      </c>
      <c r="Q21" s="841">
        <v>0</v>
      </c>
      <c r="R21" s="828"/>
      <c r="S21" s="841">
        <v>18746.75</v>
      </c>
      <c r="T21" s="828"/>
      <c r="U21" s="842">
        <v>3731402.74</v>
      </c>
      <c r="V21" s="828"/>
      <c r="W21" s="828"/>
      <c r="X21" s="828"/>
      <c r="Y21" s="828"/>
    </row>
    <row r="22" spans="1:25" x14ac:dyDescent="0.25">
      <c r="A22" s="450" t="s">
        <v>719</v>
      </c>
      <c r="B22" s="446" t="s">
        <v>325</v>
      </c>
      <c r="C22" s="450" t="s">
        <v>720</v>
      </c>
      <c r="D22" s="840" t="s">
        <v>721</v>
      </c>
      <c r="E22" s="828"/>
      <c r="F22" s="828"/>
      <c r="G22" s="446" t="s">
        <v>293</v>
      </c>
      <c r="H22" s="830" t="s">
        <v>293</v>
      </c>
      <c r="I22" s="828"/>
      <c r="J22" s="828"/>
      <c r="K22" s="446" t="s">
        <v>316</v>
      </c>
      <c r="L22" s="830" t="s">
        <v>317</v>
      </c>
      <c r="M22" s="828"/>
      <c r="N22" s="446" t="s">
        <v>318</v>
      </c>
      <c r="O22" s="446" t="s">
        <v>293</v>
      </c>
      <c r="P22" s="446" t="s">
        <v>293</v>
      </c>
      <c r="Q22" s="841">
        <v>0</v>
      </c>
      <c r="R22" s="828"/>
      <c r="S22" s="841">
        <v>-10725.5</v>
      </c>
      <c r="T22" s="828"/>
      <c r="U22" s="842">
        <v>3720677.24</v>
      </c>
      <c r="V22" s="828"/>
      <c r="W22" s="828"/>
      <c r="X22" s="828"/>
      <c r="Y22" s="828"/>
    </row>
    <row r="23" spans="1:25" x14ac:dyDescent="0.25">
      <c r="A23" s="450" t="s">
        <v>719</v>
      </c>
      <c r="B23" s="446" t="s">
        <v>325</v>
      </c>
      <c r="C23" s="450" t="s">
        <v>722</v>
      </c>
      <c r="D23" s="840" t="s">
        <v>723</v>
      </c>
      <c r="E23" s="828"/>
      <c r="F23" s="828"/>
      <c r="G23" s="446" t="s">
        <v>293</v>
      </c>
      <c r="H23" s="830" t="s">
        <v>293</v>
      </c>
      <c r="I23" s="828"/>
      <c r="J23" s="828"/>
      <c r="K23" s="446" t="s">
        <v>316</v>
      </c>
      <c r="L23" s="830" t="s">
        <v>317</v>
      </c>
      <c r="M23" s="828"/>
      <c r="N23" s="446" t="s">
        <v>318</v>
      </c>
      <c r="O23" s="446" t="s">
        <v>293</v>
      </c>
      <c r="P23" s="446" t="s">
        <v>293</v>
      </c>
      <c r="Q23" s="841">
        <v>0</v>
      </c>
      <c r="R23" s="828"/>
      <c r="S23" s="841">
        <v>-18746.75</v>
      </c>
      <c r="T23" s="828"/>
      <c r="U23" s="842">
        <v>3701930.49</v>
      </c>
      <c r="V23" s="828"/>
      <c r="W23" s="828"/>
      <c r="X23" s="828"/>
      <c r="Y23" s="828"/>
    </row>
    <row r="24" spans="1:25" x14ac:dyDescent="0.25">
      <c r="A24" s="450" t="s">
        <v>724</v>
      </c>
      <c r="B24" s="446" t="s">
        <v>325</v>
      </c>
      <c r="C24" s="450" t="s">
        <v>725</v>
      </c>
      <c r="D24" s="840" t="s">
        <v>726</v>
      </c>
      <c r="E24" s="828"/>
      <c r="F24" s="828"/>
      <c r="G24" s="446" t="s">
        <v>293</v>
      </c>
      <c r="H24" s="830" t="s">
        <v>293</v>
      </c>
      <c r="I24" s="828"/>
      <c r="J24" s="828"/>
      <c r="K24" s="446" t="s">
        <v>316</v>
      </c>
      <c r="L24" s="830" t="s">
        <v>317</v>
      </c>
      <c r="M24" s="828"/>
      <c r="N24" s="446" t="s">
        <v>318</v>
      </c>
      <c r="O24" s="446" t="s">
        <v>293</v>
      </c>
      <c r="P24" s="446" t="s">
        <v>293</v>
      </c>
      <c r="Q24" s="841">
        <v>0</v>
      </c>
      <c r="R24" s="828"/>
      <c r="S24" s="841">
        <v>21374.560000000001</v>
      </c>
      <c r="T24" s="828"/>
      <c r="U24" s="842">
        <v>3723305.05</v>
      </c>
      <c r="V24" s="828"/>
      <c r="W24" s="828"/>
      <c r="X24" s="828"/>
      <c r="Y24" s="828"/>
    </row>
    <row r="25" spans="1:25" x14ac:dyDescent="0.25">
      <c r="A25" s="450" t="s">
        <v>727</v>
      </c>
      <c r="B25" s="446" t="s">
        <v>325</v>
      </c>
      <c r="C25" s="450" t="s">
        <v>728</v>
      </c>
      <c r="D25" s="840" t="s">
        <v>729</v>
      </c>
      <c r="E25" s="828"/>
      <c r="F25" s="828"/>
      <c r="G25" s="446" t="s">
        <v>293</v>
      </c>
      <c r="H25" s="830" t="s">
        <v>293</v>
      </c>
      <c r="I25" s="828"/>
      <c r="J25" s="828"/>
      <c r="K25" s="446" t="s">
        <v>316</v>
      </c>
      <c r="L25" s="830" t="s">
        <v>317</v>
      </c>
      <c r="M25" s="828"/>
      <c r="N25" s="446" t="s">
        <v>318</v>
      </c>
      <c r="O25" s="446" t="s">
        <v>293</v>
      </c>
      <c r="P25" s="446" t="s">
        <v>293</v>
      </c>
      <c r="Q25" s="841">
        <v>0</v>
      </c>
      <c r="R25" s="828"/>
      <c r="S25" s="841">
        <v>33008.35</v>
      </c>
      <c r="T25" s="828"/>
      <c r="U25" s="842">
        <v>3756313.4</v>
      </c>
      <c r="V25" s="828"/>
      <c r="W25" s="828"/>
      <c r="X25" s="828"/>
      <c r="Y25" s="828"/>
    </row>
    <row r="26" spans="1:25" x14ac:dyDescent="0.25">
      <c r="A26" s="450" t="s">
        <v>730</v>
      </c>
      <c r="B26" s="446" t="s">
        <v>325</v>
      </c>
      <c r="C26" s="450" t="s">
        <v>731</v>
      </c>
      <c r="D26" s="840" t="s">
        <v>732</v>
      </c>
      <c r="E26" s="828"/>
      <c r="F26" s="828"/>
      <c r="G26" s="446" t="s">
        <v>293</v>
      </c>
      <c r="H26" s="830" t="s">
        <v>293</v>
      </c>
      <c r="I26" s="828"/>
      <c r="J26" s="828"/>
      <c r="K26" s="446" t="s">
        <v>316</v>
      </c>
      <c r="L26" s="830" t="s">
        <v>317</v>
      </c>
      <c r="M26" s="828"/>
      <c r="N26" s="446" t="s">
        <v>318</v>
      </c>
      <c r="O26" s="446" t="s">
        <v>293</v>
      </c>
      <c r="P26" s="446" t="s">
        <v>293</v>
      </c>
      <c r="Q26" s="841">
        <v>0</v>
      </c>
      <c r="R26" s="828"/>
      <c r="S26" s="841">
        <v>23751.47</v>
      </c>
      <c r="T26" s="828"/>
      <c r="U26" s="842">
        <v>3780064.87</v>
      </c>
      <c r="V26" s="828"/>
      <c r="W26" s="828"/>
      <c r="X26" s="828"/>
      <c r="Y26" s="828"/>
    </row>
    <row r="27" spans="1:25" x14ac:dyDescent="0.25">
      <c r="A27" s="450" t="s">
        <v>730</v>
      </c>
      <c r="B27" s="446" t="s">
        <v>325</v>
      </c>
      <c r="C27" s="450" t="s">
        <v>733</v>
      </c>
      <c r="D27" s="840" t="s">
        <v>734</v>
      </c>
      <c r="E27" s="828"/>
      <c r="F27" s="828"/>
      <c r="G27" s="446" t="s">
        <v>293</v>
      </c>
      <c r="H27" s="830" t="s">
        <v>293</v>
      </c>
      <c r="I27" s="828"/>
      <c r="J27" s="828"/>
      <c r="K27" s="446" t="s">
        <v>316</v>
      </c>
      <c r="L27" s="830" t="s">
        <v>317</v>
      </c>
      <c r="M27" s="828"/>
      <c r="N27" s="446" t="s">
        <v>318</v>
      </c>
      <c r="O27" s="446" t="s">
        <v>293</v>
      </c>
      <c r="P27" s="446" t="s">
        <v>293</v>
      </c>
      <c r="Q27" s="841">
        <v>0</v>
      </c>
      <c r="R27" s="828"/>
      <c r="S27" s="841">
        <v>21871.21</v>
      </c>
      <c r="T27" s="828"/>
      <c r="U27" s="842">
        <v>3801936.08</v>
      </c>
      <c r="V27" s="828"/>
      <c r="W27" s="828"/>
      <c r="X27" s="828"/>
      <c r="Y27" s="828"/>
    </row>
    <row r="28" spans="1:25" x14ac:dyDescent="0.25">
      <c r="A28" s="450" t="s">
        <v>735</v>
      </c>
      <c r="B28" s="446" t="s">
        <v>325</v>
      </c>
      <c r="C28" s="450" t="s">
        <v>736</v>
      </c>
      <c r="D28" s="840" t="s">
        <v>737</v>
      </c>
      <c r="E28" s="828"/>
      <c r="F28" s="828"/>
      <c r="G28" s="446" t="s">
        <v>293</v>
      </c>
      <c r="H28" s="830" t="s">
        <v>293</v>
      </c>
      <c r="I28" s="828"/>
      <c r="J28" s="828"/>
      <c r="K28" s="446" t="s">
        <v>316</v>
      </c>
      <c r="L28" s="830" t="s">
        <v>317</v>
      </c>
      <c r="M28" s="828"/>
      <c r="N28" s="446" t="s">
        <v>318</v>
      </c>
      <c r="O28" s="446" t="s">
        <v>293</v>
      </c>
      <c r="P28" s="446" t="s">
        <v>293</v>
      </c>
      <c r="Q28" s="841">
        <v>0</v>
      </c>
      <c r="R28" s="828"/>
      <c r="S28" s="841">
        <v>-23751.47</v>
      </c>
      <c r="T28" s="828"/>
      <c r="U28" s="842">
        <v>3778184.61</v>
      </c>
      <c r="V28" s="828"/>
      <c r="W28" s="828"/>
      <c r="X28" s="828"/>
      <c r="Y28" s="828"/>
    </row>
    <row r="29" spans="1:25" x14ac:dyDescent="0.25">
      <c r="A29" s="450" t="s">
        <v>735</v>
      </c>
      <c r="B29" s="446" t="s">
        <v>325</v>
      </c>
      <c r="C29" s="450" t="s">
        <v>733</v>
      </c>
      <c r="D29" s="840" t="s">
        <v>738</v>
      </c>
      <c r="E29" s="828"/>
      <c r="F29" s="828"/>
      <c r="G29" s="446" t="s">
        <v>293</v>
      </c>
      <c r="H29" s="830" t="s">
        <v>293</v>
      </c>
      <c r="I29" s="828"/>
      <c r="J29" s="828"/>
      <c r="K29" s="446" t="s">
        <v>316</v>
      </c>
      <c r="L29" s="830" t="s">
        <v>317</v>
      </c>
      <c r="M29" s="828"/>
      <c r="N29" s="446" t="s">
        <v>318</v>
      </c>
      <c r="O29" s="446" t="s">
        <v>293</v>
      </c>
      <c r="P29" s="446" t="s">
        <v>293</v>
      </c>
      <c r="Q29" s="841">
        <v>0</v>
      </c>
      <c r="R29" s="828"/>
      <c r="S29" s="841">
        <v>-21871.21</v>
      </c>
      <c r="T29" s="828"/>
      <c r="U29" s="842">
        <v>3756313.4</v>
      </c>
      <c r="V29" s="828"/>
      <c r="W29" s="828"/>
      <c r="X29" s="828"/>
      <c r="Y29" s="828"/>
    </row>
    <row r="30" spans="1:25" x14ac:dyDescent="0.25">
      <c r="A30" s="450" t="s">
        <v>739</v>
      </c>
      <c r="B30" s="446" t="s">
        <v>325</v>
      </c>
      <c r="C30" s="450" t="s">
        <v>740</v>
      </c>
      <c r="D30" s="840" t="s">
        <v>741</v>
      </c>
      <c r="E30" s="828"/>
      <c r="F30" s="828"/>
      <c r="G30" s="446" t="s">
        <v>293</v>
      </c>
      <c r="H30" s="830" t="s">
        <v>293</v>
      </c>
      <c r="I30" s="828"/>
      <c r="J30" s="828"/>
      <c r="K30" s="446" t="s">
        <v>316</v>
      </c>
      <c r="L30" s="830" t="s">
        <v>317</v>
      </c>
      <c r="M30" s="828"/>
      <c r="N30" s="446" t="s">
        <v>318</v>
      </c>
      <c r="O30" s="446" t="s">
        <v>293</v>
      </c>
      <c r="P30" s="446" t="s">
        <v>293</v>
      </c>
      <c r="Q30" s="841">
        <v>0</v>
      </c>
      <c r="R30" s="828"/>
      <c r="S30" s="841">
        <v>34382.14</v>
      </c>
      <c r="T30" s="828"/>
      <c r="U30" s="842">
        <v>3790695.54</v>
      </c>
      <c r="V30" s="828"/>
      <c r="W30" s="828"/>
      <c r="X30" s="828"/>
      <c r="Y30" s="828"/>
    </row>
    <row r="31" spans="1:25" x14ac:dyDescent="0.25">
      <c r="A31" s="450" t="s">
        <v>742</v>
      </c>
      <c r="B31" s="446" t="s">
        <v>325</v>
      </c>
      <c r="C31" s="450" t="s">
        <v>743</v>
      </c>
      <c r="D31" s="840" t="s">
        <v>744</v>
      </c>
      <c r="E31" s="828"/>
      <c r="F31" s="828"/>
      <c r="G31" s="446" t="s">
        <v>293</v>
      </c>
      <c r="H31" s="830" t="s">
        <v>293</v>
      </c>
      <c r="I31" s="828"/>
      <c r="J31" s="828"/>
      <c r="K31" s="446" t="s">
        <v>316</v>
      </c>
      <c r="L31" s="830" t="s">
        <v>317</v>
      </c>
      <c r="M31" s="828"/>
      <c r="N31" s="446" t="s">
        <v>318</v>
      </c>
      <c r="O31" s="446" t="s">
        <v>293</v>
      </c>
      <c r="P31" s="446" t="s">
        <v>293</v>
      </c>
      <c r="Q31" s="841">
        <v>0</v>
      </c>
      <c r="R31" s="828"/>
      <c r="S31" s="841">
        <v>35115.089999999997</v>
      </c>
      <c r="T31" s="828"/>
      <c r="U31" s="842">
        <v>3825810.63</v>
      </c>
      <c r="V31" s="828"/>
      <c r="W31" s="828"/>
      <c r="X31" s="828"/>
      <c r="Y31" s="828"/>
    </row>
    <row r="32" spans="1:25" ht="18" x14ac:dyDescent="0.25">
      <c r="A32" s="450" t="s">
        <v>745</v>
      </c>
      <c r="B32" s="446" t="s">
        <v>311</v>
      </c>
      <c r="C32" s="450" t="s">
        <v>746</v>
      </c>
      <c r="D32" s="840" t="s">
        <v>747</v>
      </c>
      <c r="E32" s="828"/>
      <c r="F32" s="828"/>
      <c r="G32" s="446" t="s">
        <v>748</v>
      </c>
      <c r="H32" s="830" t="s">
        <v>749</v>
      </c>
      <c r="I32" s="828"/>
      <c r="J32" s="828"/>
      <c r="K32" s="446" t="s">
        <v>316</v>
      </c>
      <c r="L32" s="830" t="s">
        <v>317</v>
      </c>
      <c r="M32" s="828"/>
      <c r="N32" s="446" t="s">
        <v>318</v>
      </c>
      <c r="O32" s="446" t="s">
        <v>293</v>
      </c>
      <c r="P32" s="446" t="s">
        <v>293</v>
      </c>
      <c r="Q32" s="841">
        <v>0</v>
      </c>
      <c r="R32" s="828"/>
      <c r="S32" s="841">
        <v>-1153.8499999999999</v>
      </c>
      <c r="T32" s="828"/>
      <c r="U32" s="842">
        <v>3824656.78</v>
      </c>
      <c r="V32" s="828"/>
      <c r="W32" s="828"/>
      <c r="X32" s="828"/>
      <c r="Y32" s="828"/>
    </row>
    <row r="33" spans="1:25" ht="18" x14ac:dyDescent="0.25">
      <c r="A33" s="450" t="s">
        <v>745</v>
      </c>
      <c r="B33" s="446" t="s">
        <v>311</v>
      </c>
      <c r="C33" s="450" t="s">
        <v>746</v>
      </c>
      <c r="D33" s="840" t="s">
        <v>750</v>
      </c>
      <c r="E33" s="828"/>
      <c r="F33" s="828"/>
      <c r="G33" s="446" t="s">
        <v>748</v>
      </c>
      <c r="H33" s="830" t="s">
        <v>749</v>
      </c>
      <c r="I33" s="828"/>
      <c r="J33" s="828"/>
      <c r="K33" s="446" t="s">
        <v>316</v>
      </c>
      <c r="L33" s="830" t="s">
        <v>317</v>
      </c>
      <c r="M33" s="828"/>
      <c r="N33" s="446" t="s">
        <v>318</v>
      </c>
      <c r="O33" s="446" t="s">
        <v>293</v>
      </c>
      <c r="P33" s="446" t="s">
        <v>293</v>
      </c>
      <c r="Q33" s="841">
        <v>0</v>
      </c>
      <c r="R33" s="828"/>
      <c r="S33" s="841">
        <v>-5793.37</v>
      </c>
      <c r="T33" s="828"/>
      <c r="U33" s="842">
        <v>3818863.41</v>
      </c>
      <c r="V33" s="828"/>
      <c r="W33" s="828"/>
      <c r="X33" s="828"/>
      <c r="Y33" s="828"/>
    </row>
    <row r="34" spans="1:25" ht="18" x14ac:dyDescent="0.25">
      <c r="A34" s="450" t="s">
        <v>745</v>
      </c>
      <c r="B34" s="446" t="s">
        <v>751</v>
      </c>
      <c r="C34" s="450" t="s">
        <v>752</v>
      </c>
      <c r="D34" s="840" t="s">
        <v>747</v>
      </c>
      <c r="E34" s="828"/>
      <c r="F34" s="828"/>
      <c r="G34" s="446" t="s">
        <v>748</v>
      </c>
      <c r="H34" s="830" t="s">
        <v>753</v>
      </c>
      <c r="I34" s="828"/>
      <c r="J34" s="828"/>
      <c r="K34" s="446" t="s">
        <v>316</v>
      </c>
      <c r="L34" s="830" t="s">
        <v>317</v>
      </c>
      <c r="M34" s="828"/>
      <c r="N34" s="446" t="s">
        <v>318</v>
      </c>
      <c r="O34" s="446" t="s">
        <v>293</v>
      </c>
      <c r="P34" s="446" t="s">
        <v>293</v>
      </c>
      <c r="Q34" s="841">
        <v>0</v>
      </c>
      <c r="R34" s="828"/>
      <c r="S34" s="841">
        <v>1153.8499999999999</v>
      </c>
      <c r="T34" s="828"/>
      <c r="U34" s="842">
        <v>3820017.26</v>
      </c>
      <c r="V34" s="828"/>
      <c r="W34" s="828"/>
      <c r="X34" s="828"/>
      <c r="Y34" s="828"/>
    </row>
    <row r="35" spans="1:25" ht="18" x14ac:dyDescent="0.25">
      <c r="A35" s="450" t="s">
        <v>745</v>
      </c>
      <c r="B35" s="446" t="s">
        <v>751</v>
      </c>
      <c r="C35" s="450" t="s">
        <v>752</v>
      </c>
      <c r="D35" s="840" t="s">
        <v>750</v>
      </c>
      <c r="E35" s="828"/>
      <c r="F35" s="828"/>
      <c r="G35" s="446" t="s">
        <v>748</v>
      </c>
      <c r="H35" s="830" t="s">
        <v>753</v>
      </c>
      <c r="I35" s="828"/>
      <c r="J35" s="828"/>
      <c r="K35" s="446" t="s">
        <v>316</v>
      </c>
      <c r="L35" s="830" t="s">
        <v>317</v>
      </c>
      <c r="M35" s="828"/>
      <c r="N35" s="446" t="s">
        <v>318</v>
      </c>
      <c r="O35" s="446" t="s">
        <v>293</v>
      </c>
      <c r="P35" s="446" t="s">
        <v>293</v>
      </c>
      <c r="Q35" s="841">
        <v>0</v>
      </c>
      <c r="R35" s="828"/>
      <c r="S35" s="841">
        <v>5793.37</v>
      </c>
      <c r="T35" s="828"/>
      <c r="U35" s="842">
        <v>3825810.63</v>
      </c>
      <c r="V35" s="828"/>
      <c r="W35" s="828"/>
      <c r="X35" s="828"/>
      <c r="Y35" s="828"/>
    </row>
    <row r="36" spans="1:25" x14ac:dyDescent="0.25">
      <c r="A36" s="450" t="s">
        <v>754</v>
      </c>
      <c r="B36" s="446" t="s">
        <v>325</v>
      </c>
      <c r="C36" s="450" t="s">
        <v>755</v>
      </c>
      <c r="D36" s="840" t="s">
        <v>756</v>
      </c>
      <c r="E36" s="828"/>
      <c r="F36" s="828"/>
      <c r="G36" s="446" t="s">
        <v>293</v>
      </c>
      <c r="H36" s="830" t="s">
        <v>293</v>
      </c>
      <c r="I36" s="828"/>
      <c r="J36" s="828"/>
      <c r="K36" s="446" t="s">
        <v>316</v>
      </c>
      <c r="L36" s="830" t="s">
        <v>317</v>
      </c>
      <c r="M36" s="828"/>
      <c r="N36" s="446" t="s">
        <v>318</v>
      </c>
      <c r="O36" s="446" t="s">
        <v>293</v>
      </c>
      <c r="P36" s="446" t="s">
        <v>293</v>
      </c>
      <c r="Q36" s="841">
        <v>0</v>
      </c>
      <c r="R36" s="828"/>
      <c r="S36" s="841">
        <v>25113.64</v>
      </c>
      <c r="T36" s="828"/>
      <c r="U36" s="842">
        <v>3850924.27</v>
      </c>
      <c r="V36" s="828"/>
      <c r="W36" s="828"/>
      <c r="X36" s="828"/>
      <c r="Y36" s="828"/>
    </row>
    <row r="37" spans="1:25" x14ac:dyDescent="0.25">
      <c r="A37" s="450" t="s">
        <v>754</v>
      </c>
      <c r="B37" s="446" t="s">
        <v>325</v>
      </c>
      <c r="C37" s="450" t="s">
        <v>757</v>
      </c>
      <c r="D37" s="840" t="s">
        <v>758</v>
      </c>
      <c r="E37" s="828"/>
      <c r="F37" s="828"/>
      <c r="G37" s="446" t="s">
        <v>293</v>
      </c>
      <c r="H37" s="830" t="s">
        <v>293</v>
      </c>
      <c r="I37" s="828"/>
      <c r="J37" s="828"/>
      <c r="K37" s="446" t="s">
        <v>316</v>
      </c>
      <c r="L37" s="830" t="s">
        <v>317</v>
      </c>
      <c r="M37" s="828"/>
      <c r="N37" s="446" t="s">
        <v>318</v>
      </c>
      <c r="O37" s="446" t="s">
        <v>293</v>
      </c>
      <c r="P37" s="446" t="s">
        <v>293</v>
      </c>
      <c r="Q37" s="841">
        <v>0</v>
      </c>
      <c r="R37" s="828"/>
      <c r="S37" s="841">
        <v>24995.67</v>
      </c>
      <c r="T37" s="828"/>
      <c r="U37" s="842">
        <v>3875919.94</v>
      </c>
      <c r="V37" s="828"/>
      <c r="W37" s="828"/>
      <c r="X37" s="828"/>
      <c r="Y37" s="828"/>
    </row>
    <row r="38" spans="1:25" ht="18" x14ac:dyDescent="0.25">
      <c r="A38" s="450" t="s">
        <v>754</v>
      </c>
      <c r="B38" s="446" t="s">
        <v>311</v>
      </c>
      <c r="C38" s="450" t="s">
        <v>759</v>
      </c>
      <c r="D38" s="840" t="s">
        <v>747</v>
      </c>
      <c r="E38" s="828"/>
      <c r="F38" s="828"/>
      <c r="G38" s="446" t="s">
        <v>748</v>
      </c>
      <c r="H38" s="830" t="s">
        <v>760</v>
      </c>
      <c r="I38" s="828"/>
      <c r="J38" s="828"/>
      <c r="K38" s="446" t="s">
        <v>316</v>
      </c>
      <c r="L38" s="830" t="s">
        <v>317</v>
      </c>
      <c r="M38" s="828"/>
      <c r="N38" s="446" t="s">
        <v>318</v>
      </c>
      <c r="O38" s="446" t="s">
        <v>293</v>
      </c>
      <c r="P38" s="446" t="s">
        <v>293</v>
      </c>
      <c r="Q38" s="841">
        <v>-173.08</v>
      </c>
      <c r="R38" s="828"/>
      <c r="S38" s="841">
        <v>-1153.8499999999999</v>
      </c>
      <c r="T38" s="828"/>
      <c r="U38" s="842">
        <v>3874766.09</v>
      </c>
      <c r="V38" s="828"/>
      <c r="W38" s="828"/>
      <c r="X38" s="828"/>
      <c r="Y38" s="828"/>
    </row>
    <row r="39" spans="1:25" ht="18" x14ac:dyDescent="0.25">
      <c r="A39" s="450" t="s">
        <v>754</v>
      </c>
      <c r="B39" s="446" t="s">
        <v>311</v>
      </c>
      <c r="C39" s="450" t="s">
        <v>759</v>
      </c>
      <c r="D39" s="840" t="s">
        <v>750</v>
      </c>
      <c r="E39" s="828"/>
      <c r="F39" s="828"/>
      <c r="G39" s="446" t="s">
        <v>748</v>
      </c>
      <c r="H39" s="830" t="s">
        <v>760</v>
      </c>
      <c r="I39" s="828"/>
      <c r="J39" s="828"/>
      <c r="K39" s="446" t="s">
        <v>316</v>
      </c>
      <c r="L39" s="830" t="s">
        <v>317</v>
      </c>
      <c r="M39" s="828"/>
      <c r="N39" s="446" t="s">
        <v>318</v>
      </c>
      <c r="O39" s="446" t="s">
        <v>293</v>
      </c>
      <c r="P39" s="446" t="s">
        <v>293</v>
      </c>
      <c r="Q39" s="841">
        <v>-869.01</v>
      </c>
      <c r="R39" s="828"/>
      <c r="S39" s="841">
        <v>-5793.37</v>
      </c>
      <c r="T39" s="828"/>
      <c r="U39" s="842">
        <v>3868972.72</v>
      </c>
      <c r="V39" s="828"/>
      <c r="W39" s="828"/>
      <c r="X39" s="828"/>
      <c r="Y39" s="828"/>
    </row>
    <row r="40" spans="1:25" x14ac:dyDescent="0.25">
      <c r="A40" s="450" t="s">
        <v>761</v>
      </c>
      <c r="B40" s="446" t="s">
        <v>325</v>
      </c>
      <c r="C40" s="450" t="s">
        <v>762</v>
      </c>
      <c r="D40" s="840" t="s">
        <v>763</v>
      </c>
      <c r="E40" s="828"/>
      <c r="F40" s="828"/>
      <c r="G40" s="446" t="s">
        <v>293</v>
      </c>
      <c r="H40" s="830" t="s">
        <v>293</v>
      </c>
      <c r="I40" s="828"/>
      <c r="J40" s="828"/>
      <c r="K40" s="446" t="s">
        <v>316</v>
      </c>
      <c r="L40" s="830" t="s">
        <v>317</v>
      </c>
      <c r="M40" s="828"/>
      <c r="N40" s="446" t="s">
        <v>318</v>
      </c>
      <c r="O40" s="446" t="s">
        <v>293</v>
      </c>
      <c r="P40" s="446" t="s">
        <v>293</v>
      </c>
      <c r="Q40" s="841">
        <v>0</v>
      </c>
      <c r="R40" s="828"/>
      <c r="S40" s="841">
        <v>-25113.64</v>
      </c>
      <c r="T40" s="828"/>
      <c r="U40" s="842">
        <v>3843859.08</v>
      </c>
      <c r="V40" s="828"/>
      <c r="W40" s="828"/>
      <c r="X40" s="828"/>
      <c r="Y40" s="828"/>
    </row>
    <row r="41" spans="1:25" x14ac:dyDescent="0.25">
      <c r="A41" s="450" t="s">
        <v>761</v>
      </c>
      <c r="B41" s="446" t="s">
        <v>325</v>
      </c>
      <c r="C41" s="450" t="s">
        <v>764</v>
      </c>
      <c r="D41" s="840" t="s">
        <v>765</v>
      </c>
      <c r="E41" s="828"/>
      <c r="F41" s="828"/>
      <c r="G41" s="446" t="s">
        <v>293</v>
      </c>
      <c r="H41" s="830" t="s">
        <v>293</v>
      </c>
      <c r="I41" s="828"/>
      <c r="J41" s="828"/>
      <c r="K41" s="446" t="s">
        <v>316</v>
      </c>
      <c r="L41" s="830" t="s">
        <v>317</v>
      </c>
      <c r="M41" s="828"/>
      <c r="N41" s="446" t="s">
        <v>318</v>
      </c>
      <c r="O41" s="446" t="s">
        <v>293</v>
      </c>
      <c r="P41" s="446" t="s">
        <v>293</v>
      </c>
      <c r="Q41" s="841">
        <v>0</v>
      </c>
      <c r="R41" s="828"/>
      <c r="S41" s="841">
        <v>-24995.67</v>
      </c>
      <c r="T41" s="828"/>
      <c r="U41" s="842">
        <v>3818863.41</v>
      </c>
      <c r="V41" s="828"/>
      <c r="W41" s="828"/>
      <c r="X41" s="828"/>
      <c r="Y41" s="828"/>
    </row>
    <row r="42" spans="1:25" x14ac:dyDescent="0.25">
      <c r="A42" s="450" t="s">
        <v>766</v>
      </c>
      <c r="B42" s="446" t="s">
        <v>325</v>
      </c>
      <c r="C42" s="450" t="s">
        <v>767</v>
      </c>
      <c r="D42" s="840" t="s">
        <v>768</v>
      </c>
      <c r="E42" s="828"/>
      <c r="F42" s="828"/>
      <c r="G42" s="446" t="s">
        <v>293</v>
      </c>
      <c r="H42" s="830" t="s">
        <v>293</v>
      </c>
      <c r="I42" s="828"/>
      <c r="J42" s="828"/>
      <c r="K42" s="446" t="s">
        <v>316</v>
      </c>
      <c r="L42" s="830" t="s">
        <v>317</v>
      </c>
      <c r="M42" s="828"/>
      <c r="N42" s="446" t="s">
        <v>318</v>
      </c>
      <c r="O42" s="446" t="s">
        <v>293</v>
      </c>
      <c r="P42" s="446" t="s">
        <v>293</v>
      </c>
      <c r="Q42" s="841">
        <v>0</v>
      </c>
      <c r="R42" s="828"/>
      <c r="S42" s="841">
        <v>35116.06</v>
      </c>
      <c r="T42" s="828"/>
      <c r="U42" s="842">
        <v>3853979.47</v>
      </c>
      <c r="V42" s="828"/>
      <c r="W42" s="828"/>
      <c r="X42" s="828"/>
      <c r="Y42" s="828"/>
    </row>
    <row r="43" spans="1:25" x14ac:dyDescent="0.25">
      <c r="A43" s="450" t="s">
        <v>769</v>
      </c>
      <c r="B43" s="446" t="s">
        <v>325</v>
      </c>
      <c r="C43" s="450" t="s">
        <v>770</v>
      </c>
      <c r="D43" s="840" t="s">
        <v>771</v>
      </c>
      <c r="E43" s="828"/>
      <c r="F43" s="828"/>
      <c r="G43" s="446" t="s">
        <v>293</v>
      </c>
      <c r="H43" s="830" t="s">
        <v>293</v>
      </c>
      <c r="I43" s="828"/>
      <c r="J43" s="828"/>
      <c r="K43" s="446" t="s">
        <v>316</v>
      </c>
      <c r="L43" s="830" t="s">
        <v>317</v>
      </c>
      <c r="M43" s="828"/>
      <c r="N43" s="446" t="s">
        <v>318</v>
      </c>
      <c r="O43" s="446" t="s">
        <v>293</v>
      </c>
      <c r="P43" s="446" t="s">
        <v>293</v>
      </c>
      <c r="Q43" s="841">
        <v>0</v>
      </c>
      <c r="R43" s="828"/>
      <c r="S43" s="841">
        <v>35141.72</v>
      </c>
      <c r="T43" s="828"/>
      <c r="U43" s="842">
        <v>3889121.19</v>
      </c>
      <c r="V43" s="828"/>
      <c r="W43" s="828"/>
      <c r="X43" s="828"/>
      <c r="Y43" s="828"/>
    </row>
    <row r="44" spans="1:25" x14ac:dyDescent="0.25">
      <c r="A44" s="450" t="s">
        <v>772</v>
      </c>
      <c r="B44" s="446" t="s">
        <v>325</v>
      </c>
      <c r="C44" s="450" t="s">
        <v>773</v>
      </c>
      <c r="D44" s="840" t="s">
        <v>774</v>
      </c>
      <c r="E44" s="828"/>
      <c r="F44" s="828"/>
      <c r="G44" s="446" t="s">
        <v>293</v>
      </c>
      <c r="H44" s="830" t="s">
        <v>293</v>
      </c>
      <c r="I44" s="828"/>
      <c r="J44" s="828"/>
      <c r="K44" s="446" t="s">
        <v>316</v>
      </c>
      <c r="L44" s="830" t="s">
        <v>317</v>
      </c>
      <c r="M44" s="828"/>
      <c r="N44" s="446" t="s">
        <v>318</v>
      </c>
      <c r="O44" s="446" t="s">
        <v>293</v>
      </c>
      <c r="P44" s="446" t="s">
        <v>293</v>
      </c>
      <c r="Q44" s="841">
        <v>0</v>
      </c>
      <c r="R44" s="828"/>
      <c r="S44" s="841">
        <v>28120.13</v>
      </c>
      <c r="T44" s="828"/>
      <c r="U44" s="842">
        <v>3917241.32</v>
      </c>
      <c r="V44" s="828"/>
      <c r="W44" s="828"/>
      <c r="X44" s="828"/>
      <c r="Y44" s="828"/>
    </row>
    <row r="45" spans="1:25" ht="18" x14ac:dyDescent="0.25">
      <c r="A45" s="450" t="s">
        <v>772</v>
      </c>
      <c r="B45" s="446" t="s">
        <v>311</v>
      </c>
      <c r="C45" s="450" t="s">
        <v>775</v>
      </c>
      <c r="D45" s="840" t="s">
        <v>747</v>
      </c>
      <c r="E45" s="828"/>
      <c r="F45" s="828"/>
      <c r="G45" s="446" t="s">
        <v>748</v>
      </c>
      <c r="H45" s="830" t="s">
        <v>776</v>
      </c>
      <c r="I45" s="828"/>
      <c r="J45" s="828"/>
      <c r="K45" s="446" t="s">
        <v>316</v>
      </c>
      <c r="L45" s="830" t="s">
        <v>317</v>
      </c>
      <c r="M45" s="828"/>
      <c r="N45" s="446" t="s">
        <v>318</v>
      </c>
      <c r="O45" s="446" t="s">
        <v>293</v>
      </c>
      <c r="P45" s="446" t="s">
        <v>293</v>
      </c>
      <c r="Q45" s="841">
        <v>-199.03</v>
      </c>
      <c r="R45" s="828"/>
      <c r="S45" s="841">
        <v>-1326.93</v>
      </c>
      <c r="T45" s="828"/>
      <c r="U45" s="842">
        <v>3915914.39</v>
      </c>
      <c r="V45" s="828"/>
      <c r="W45" s="828"/>
      <c r="X45" s="828"/>
      <c r="Y45" s="828"/>
    </row>
    <row r="46" spans="1:25" ht="18" x14ac:dyDescent="0.25">
      <c r="A46" s="450" t="s">
        <v>772</v>
      </c>
      <c r="B46" s="446" t="s">
        <v>311</v>
      </c>
      <c r="C46" s="450" t="s">
        <v>775</v>
      </c>
      <c r="D46" s="840" t="s">
        <v>750</v>
      </c>
      <c r="E46" s="828"/>
      <c r="F46" s="828"/>
      <c r="G46" s="446" t="s">
        <v>748</v>
      </c>
      <c r="H46" s="830" t="s">
        <v>776</v>
      </c>
      <c r="I46" s="828"/>
      <c r="J46" s="828"/>
      <c r="K46" s="446" t="s">
        <v>316</v>
      </c>
      <c r="L46" s="830" t="s">
        <v>317</v>
      </c>
      <c r="M46" s="828"/>
      <c r="N46" s="446" t="s">
        <v>318</v>
      </c>
      <c r="O46" s="446" t="s">
        <v>293</v>
      </c>
      <c r="P46" s="446" t="s">
        <v>293</v>
      </c>
      <c r="Q46" s="841">
        <v>-995.82</v>
      </c>
      <c r="R46" s="828"/>
      <c r="S46" s="841">
        <v>-6638.79</v>
      </c>
      <c r="T46" s="828"/>
      <c r="U46" s="842">
        <v>3909275.6</v>
      </c>
      <c r="V46" s="828"/>
      <c r="W46" s="828"/>
      <c r="X46" s="828"/>
      <c r="Y46" s="828"/>
    </row>
    <row r="47" spans="1:25" x14ac:dyDescent="0.25">
      <c r="A47" s="450" t="s">
        <v>772</v>
      </c>
      <c r="B47" s="446" t="s">
        <v>325</v>
      </c>
      <c r="C47" s="450" t="s">
        <v>777</v>
      </c>
      <c r="D47" s="840" t="s">
        <v>778</v>
      </c>
      <c r="E47" s="828"/>
      <c r="F47" s="828"/>
      <c r="G47" s="446" t="s">
        <v>293</v>
      </c>
      <c r="H47" s="830" t="s">
        <v>293</v>
      </c>
      <c r="I47" s="828"/>
      <c r="J47" s="828"/>
      <c r="K47" s="446" t="s">
        <v>316</v>
      </c>
      <c r="L47" s="830" t="s">
        <v>317</v>
      </c>
      <c r="M47" s="828"/>
      <c r="N47" s="446" t="s">
        <v>318</v>
      </c>
      <c r="O47" s="446" t="s">
        <v>293</v>
      </c>
      <c r="P47" s="446" t="s">
        <v>293</v>
      </c>
      <c r="Q47" s="841">
        <v>0</v>
      </c>
      <c r="R47" s="828"/>
      <c r="S47" s="841">
        <v>35028.28</v>
      </c>
      <c r="T47" s="828"/>
      <c r="U47" s="842">
        <v>3944303.88</v>
      </c>
      <c r="V47" s="828"/>
      <c r="W47" s="828"/>
      <c r="X47" s="828"/>
      <c r="Y47" s="828"/>
    </row>
    <row r="48" spans="1:25" x14ac:dyDescent="0.25">
      <c r="A48" s="831" t="s">
        <v>293</v>
      </c>
      <c r="B48" s="828"/>
      <c r="C48" s="828"/>
      <c r="D48" s="828"/>
      <c r="E48" s="831" t="s">
        <v>702</v>
      </c>
      <c r="F48" s="828"/>
      <c r="G48" s="828"/>
      <c r="H48" s="831" t="s">
        <v>293</v>
      </c>
      <c r="I48" s="828"/>
      <c r="J48" s="828"/>
      <c r="K48" s="828"/>
      <c r="L48" s="828"/>
      <c r="M48" s="828"/>
      <c r="N48" s="449" t="s">
        <v>293</v>
      </c>
      <c r="O48" s="449" t="s">
        <v>293</v>
      </c>
      <c r="P48" s="449" t="s">
        <v>293</v>
      </c>
      <c r="Q48" s="843">
        <v>-2236.94</v>
      </c>
      <c r="R48" s="828"/>
      <c r="S48" s="843">
        <v>258021.34</v>
      </c>
      <c r="T48" s="828"/>
      <c r="U48" s="843">
        <v>3944303.88</v>
      </c>
      <c r="V48" s="828"/>
      <c r="W48" s="828"/>
      <c r="X48" s="828"/>
      <c r="Y48" s="828"/>
    </row>
    <row r="49" spans="1:25" ht="24" customHeight="1" x14ac:dyDescent="0.25">
      <c r="A49" s="833" t="s">
        <v>293</v>
      </c>
      <c r="B49" s="828"/>
      <c r="C49" s="828"/>
      <c r="D49" s="828"/>
      <c r="E49" s="828"/>
      <c r="F49" s="828"/>
      <c r="G49" s="828"/>
      <c r="H49" s="828"/>
      <c r="I49" s="828"/>
      <c r="J49" s="828"/>
      <c r="K49" s="828"/>
      <c r="L49" s="828"/>
      <c r="M49" s="828"/>
      <c r="N49" s="828"/>
      <c r="O49" s="828"/>
      <c r="P49" s="828"/>
      <c r="Q49" s="828"/>
      <c r="R49" s="828"/>
      <c r="S49" s="828"/>
      <c r="T49" s="828"/>
      <c r="U49" s="828"/>
      <c r="V49" s="828"/>
      <c r="W49" s="828"/>
      <c r="X49" s="828"/>
      <c r="Y49" s="828"/>
    </row>
    <row r="50" spans="1:25" ht="12" customHeight="1" x14ac:dyDescent="0.25">
      <c r="A50" s="831" t="s">
        <v>307</v>
      </c>
      <c r="B50" s="828"/>
      <c r="C50" s="449" t="s">
        <v>293</v>
      </c>
      <c r="D50" s="449" t="s">
        <v>779</v>
      </c>
      <c r="E50" s="831" t="s">
        <v>780</v>
      </c>
      <c r="F50" s="828"/>
      <c r="G50" s="828"/>
      <c r="H50" s="831" t="s">
        <v>293</v>
      </c>
      <c r="I50" s="828"/>
      <c r="J50" s="828"/>
      <c r="K50" s="828"/>
      <c r="L50" s="828"/>
      <c r="M50" s="828"/>
      <c r="N50" s="828"/>
      <c r="O50" s="828"/>
      <c r="P50" s="828"/>
      <c r="Q50" s="828"/>
      <c r="R50" s="828"/>
      <c r="S50" s="828"/>
      <c r="T50" s="828"/>
      <c r="U50" s="843">
        <v>58212.79</v>
      </c>
      <c r="V50" s="828"/>
      <c r="W50" s="828"/>
      <c r="X50" s="828"/>
      <c r="Y50" s="828"/>
    </row>
    <row r="51" spans="1:25" x14ac:dyDescent="0.25">
      <c r="A51" s="450" t="s">
        <v>703</v>
      </c>
      <c r="B51" s="446" t="s">
        <v>325</v>
      </c>
      <c r="C51" s="450" t="s">
        <v>781</v>
      </c>
      <c r="D51" s="840" t="s">
        <v>782</v>
      </c>
      <c r="E51" s="828"/>
      <c r="F51" s="828"/>
      <c r="G51" s="446" t="s">
        <v>293</v>
      </c>
      <c r="H51" s="830" t="s">
        <v>293</v>
      </c>
      <c r="I51" s="828"/>
      <c r="J51" s="828"/>
      <c r="K51" s="446" t="s">
        <v>316</v>
      </c>
      <c r="L51" s="830" t="s">
        <v>317</v>
      </c>
      <c r="M51" s="828"/>
      <c r="N51" s="446" t="s">
        <v>318</v>
      </c>
      <c r="O51" s="446" t="s">
        <v>293</v>
      </c>
      <c r="P51" s="446" t="s">
        <v>293</v>
      </c>
      <c r="Q51" s="841">
        <v>0</v>
      </c>
      <c r="R51" s="828"/>
      <c r="S51" s="841">
        <v>-38730.68</v>
      </c>
      <c r="T51" s="828"/>
      <c r="U51" s="842">
        <v>19482.11</v>
      </c>
      <c r="V51" s="828"/>
      <c r="W51" s="828"/>
      <c r="X51" s="828"/>
      <c r="Y51" s="828"/>
    </row>
    <row r="52" spans="1:25" x14ac:dyDescent="0.25">
      <c r="A52" s="450" t="s">
        <v>714</v>
      </c>
      <c r="B52" s="446" t="s">
        <v>325</v>
      </c>
      <c r="C52" s="450" t="s">
        <v>783</v>
      </c>
      <c r="D52" s="840" t="s">
        <v>784</v>
      </c>
      <c r="E52" s="828"/>
      <c r="F52" s="828"/>
      <c r="G52" s="446" t="s">
        <v>293</v>
      </c>
      <c r="H52" s="830" t="s">
        <v>293</v>
      </c>
      <c r="I52" s="828"/>
      <c r="J52" s="828"/>
      <c r="K52" s="446" t="s">
        <v>316</v>
      </c>
      <c r="L52" s="830" t="s">
        <v>317</v>
      </c>
      <c r="M52" s="828"/>
      <c r="N52" s="446" t="s">
        <v>318</v>
      </c>
      <c r="O52" s="446" t="s">
        <v>293</v>
      </c>
      <c r="P52" s="446" t="s">
        <v>293</v>
      </c>
      <c r="Q52" s="841">
        <v>0</v>
      </c>
      <c r="R52" s="828"/>
      <c r="S52" s="841">
        <v>38835.339999999997</v>
      </c>
      <c r="T52" s="828"/>
      <c r="U52" s="842">
        <v>58317.45</v>
      </c>
      <c r="V52" s="828"/>
      <c r="W52" s="828"/>
      <c r="X52" s="828"/>
      <c r="Y52" s="828"/>
    </row>
    <row r="53" spans="1:25" x14ac:dyDescent="0.25">
      <c r="A53" s="450" t="s">
        <v>719</v>
      </c>
      <c r="B53" s="446" t="s">
        <v>325</v>
      </c>
      <c r="C53" s="450" t="s">
        <v>785</v>
      </c>
      <c r="D53" s="840" t="s">
        <v>786</v>
      </c>
      <c r="E53" s="828"/>
      <c r="F53" s="828"/>
      <c r="G53" s="446" t="s">
        <v>293</v>
      </c>
      <c r="H53" s="830" t="s">
        <v>293</v>
      </c>
      <c r="I53" s="828"/>
      <c r="J53" s="828"/>
      <c r="K53" s="446" t="s">
        <v>316</v>
      </c>
      <c r="L53" s="830" t="s">
        <v>317</v>
      </c>
      <c r="M53" s="828"/>
      <c r="N53" s="446" t="s">
        <v>318</v>
      </c>
      <c r="O53" s="446" t="s">
        <v>293</v>
      </c>
      <c r="P53" s="446" t="s">
        <v>293</v>
      </c>
      <c r="Q53" s="841">
        <v>0</v>
      </c>
      <c r="R53" s="828"/>
      <c r="S53" s="841">
        <v>-38835.339999999997</v>
      </c>
      <c r="T53" s="828"/>
      <c r="U53" s="842">
        <v>19482.11</v>
      </c>
      <c r="V53" s="828"/>
      <c r="W53" s="828"/>
      <c r="X53" s="828"/>
      <c r="Y53" s="828"/>
    </row>
    <row r="54" spans="1:25" x14ac:dyDescent="0.25">
      <c r="A54" s="450" t="s">
        <v>730</v>
      </c>
      <c r="B54" s="446" t="s">
        <v>325</v>
      </c>
      <c r="C54" s="450" t="s">
        <v>787</v>
      </c>
      <c r="D54" s="840" t="s">
        <v>788</v>
      </c>
      <c r="E54" s="828"/>
      <c r="F54" s="828"/>
      <c r="G54" s="446" t="s">
        <v>293</v>
      </c>
      <c r="H54" s="830" t="s">
        <v>293</v>
      </c>
      <c r="I54" s="828"/>
      <c r="J54" s="828"/>
      <c r="K54" s="446" t="s">
        <v>316</v>
      </c>
      <c r="L54" s="830" t="s">
        <v>317</v>
      </c>
      <c r="M54" s="828"/>
      <c r="N54" s="446" t="s">
        <v>318</v>
      </c>
      <c r="O54" s="446" t="s">
        <v>293</v>
      </c>
      <c r="P54" s="446" t="s">
        <v>293</v>
      </c>
      <c r="Q54" s="841">
        <v>0</v>
      </c>
      <c r="R54" s="828"/>
      <c r="S54" s="841">
        <v>37693.81</v>
      </c>
      <c r="T54" s="828"/>
      <c r="U54" s="842">
        <v>57175.92</v>
      </c>
      <c r="V54" s="828"/>
      <c r="W54" s="828"/>
      <c r="X54" s="828"/>
      <c r="Y54" s="828"/>
    </row>
    <row r="55" spans="1:25" x14ac:dyDescent="0.25">
      <c r="A55" s="450" t="s">
        <v>735</v>
      </c>
      <c r="B55" s="446" t="s">
        <v>325</v>
      </c>
      <c r="C55" s="450" t="s">
        <v>789</v>
      </c>
      <c r="D55" s="840" t="s">
        <v>790</v>
      </c>
      <c r="E55" s="828"/>
      <c r="F55" s="828"/>
      <c r="G55" s="446" t="s">
        <v>293</v>
      </c>
      <c r="H55" s="830" t="s">
        <v>293</v>
      </c>
      <c r="I55" s="828"/>
      <c r="J55" s="828"/>
      <c r="K55" s="446" t="s">
        <v>316</v>
      </c>
      <c r="L55" s="830" t="s">
        <v>317</v>
      </c>
      <c r="M55" s="828"/>
      <c r="N55" s="446" t="s">
        <v>318</v>
      </c>
      <c r="O55" s="446" t="s">
        <v>293</v>
      </c>
      <c r="P55" s="446" t="s">
        <v>293</v>
      </c>
      <c r="Q55" s="841">
        <v>0</v>
      </c>
      <c r="R55" s="828"/>
      <c r="S55" s="841">
        <v>-37693.81</v>
      </c>
      <c r="T55" s="828"/>
      <c r="U55" s="842">
        <v>19482.11</v>
      </c>
      <c r="V55" s="828"/>
      <c r="W55" s="828"/>
      <c r="X55" s="828"/>
      <c r="Y55" s="828"/>
    </row>
    <row r="56" spans="1:25" x14ac:dyDescent="0.25">
      <c r="A56" s="450" t="s">
        <v>754</v>
      </c>
      <c r="B56" s="446" t="s">
        <v>325</v>
      </c>
      <c r="C56" s="450" t="s">
        <v>791</v>
      </c>
      <c r="D56" s="840" t="s">
        <v>792</v>
      </c>
      <c r="E56" s="828"/>
      <c r="F56" s="828"/>
      <c r="G56" s="446" t="s">
        <v>293</v>
      </c>
      <c r="H56" s="830" t="s">
        <v>293</v>
      </c>
      <c r="I56" s="828"/>
      <c r="J56" s="828"/>
      <c r="K56" s="446" t="s">
        <v>316</v>
      </c>
      <c r="L56" s="830" t="s">
        <v>317</v>
      </c>
      <c r="M56" s="828"/>
      <c r="N56" s="446" t="s">
        <v>318</v>
      </c>
      <c r="O56" s="446" t="s">
        <v>293</v>
      </c>
      <c r="P56" s="446" t="s">
        <v>293</v>
      </c>
      <c r="Q56" s="841">
        <v>0</v>
      </c>
      <c r="R56" s="828"/>
      <c r="S56" s="841">
        <v>31123.26</v>
      </c>
      <c r="T56" s="828"/>
      <c r="U56" s="842">
        <v>50605.37</v>
      </c>
      <c r="V56" s="828"/>
      <c r="W56" s="828"/>
      <c r="X56" s="828"/>
      <c r="Y56" s="828"/>
    </row>
    <row r="57" spans="1:25" x14ac:dyDescent="0.25">
      <c r="A57" s="450" t="s">
        <v>761</v>
      </c>
      <c r="B57" s="446" t="s">
        <v>325</v>
      </c>
      <c r="C57" s="450" t="s">
        <v>793</v>
      </c>
      <c r="D57" s="840" t="s">
        <v>794</v>
      </c>
      <c r="E57" s="828"/>
      <c r="F57" s="828"/>
      <c r="G57" s="446" t="s">
        <v>293</v>
      </c>
      <c r="H57" s="830" t="s">
        <v>293</v>
      </c>
      <c r="I57" s="828"/>
      <c r="J57" s="828"/>
      <c r="K57" s="446" t="s">
        <v>316</v>
      </c>
      <c r="L57" s="830" t="s">
        <v>317</v>
      </c>
      <c r="M57" s="828"/>
      <c r="N57" s="446" t="s">
        <v>318</v>
      </c>
      <c r="O57" s="446" t="s">
        <v>293</v>
      </c>
      <c r="P57" s="446" t="s">
        <v>293</v>
      </c>
      <c r="Q57" s="841">
        <v>0</v>
      </c>
      <c r="R57" s="828"/>
      <c r="S57" s="841">
        <v>-31123.26</v>
      </c>
      <c r="T57" s="828"/>
      <c r="U57" s="842">
        <v>19482.11</v>
      </c>
      <c r="V57" s="828"/>
      <c r="W57" s="828"/>
      <c r="X57" s="828"/>
      <c r="Y57" s="828"/>
    </row>
    <row r="58" spans="1:25" x14ac:dyDescent="0.25">
      <c r="A58" s="450" t="s">
        <v>772</v>
      </c>
      <c r="B58" s="446" t="s">
        <v>325</v>
      </c>
      <c r="C58" s="450" t="s">
        <v>795</v>
      </c>
      <c r="D58" s="840" t="s">
        <v>796</v>
      </c>
      <c r="E58" s="828"/>
      <c r="F58" s="828"/>
      <c r="G58" s="446" t="s">
        <v>293</v>
      </c>
      <c r="H58" s="830" t="s">
        <v>293</v>
      </c>
      <c r="I58" s="828"/>
      <c r="J58" s="828"/>
      <c r="K58" s="446" t="s">
        <v>316</v>
      </c>
      <c r="L58" s="830" t="s">
        <v>317</v>
      </c>
      <c r="M58" s="828"/>
      <c r="N58" s="446" t="s">
        <v>318</v>
      </c>
      <c r="O58" s="446" t="s">
        <v>293</v>
      </c>
      <c r="P58" s="446" t="s">
        <v>293</v>
      </c>
      <c r="Q58" s="841">
        <v>0</v>
      </c>
      <c r="R58" s="828"/>
      <c r="S58" s="841">
        <v>38492.97</v>
      </c>
      <c r="T58" s="828"/>
      <c r="U58" s="842">
        <v>57975.08</v>
      </c>
      <c r="V58" s="828"/>
      <c r="W58" s="828"/>
      <c r="X58" s="828"/>
      <c r="Y58" s="828"/>
    </row>
    <row r="59" spans="1:25" x14ac:dyDescent="0.25">
      <c r="A59" s="831" t="s">
        <v>293</v>
      </c>
      <c r="B59" s="828"/>
      <c r="C59" s="828"/>
      <c r="D59" s="828"/>
      <c r="E59" s="831" t="s">
        <v>780</v>
      </c>
      <c r="F59" s="828"/>
      <c r="G59" s="828"/>
      <c r="H59" s="831" t="s">
        <v>293</v>
      </c>
      <c r="I59" s="828"/>
      <c r="J59" s="828"/>
      <c r="K59" s="828"/>
      <c r="L59" s="828"/>
      <c r="M59" s="828"/>
      <c r="N59" s="449" t="s">
        <v>293</v>
      </c>
      <c r="O59" s="449" t="s">
        <v>293</v>
      </c>
      <c r="P59" s="449" t="s">
        <v>293</v>
      </c>
      <c r="Q59" s="843">
        <v>0</v>
      </c>
      <c r="R59" s="828"/>
      <c r="S59" s="843">
        <v>-237.71</v>
      </c>
      <c r="T59" s="828"/>
      <c r="U59" s="843">
        <v>57975.08</v>
      </c>
      <c r="V59" s="828"/>
      <c r="W59" s="828"/>
      <c r="X59" s="828"/>
      <c r="Y59" s="828"/>
    </row>
    <row r="60" spans="1:25" ht="24" customHeight="1" x14ac:dyDescent="0.25">
      <c r="A60" s="833" t="s">
        <v>293</v>
      </c>
      <c r="B60" s="828"/>
      <c r="C60" s="828"/>
      <c r="D60" s="828"/>
      <c r="E60" s="828"/>
      <c r="F60" s="828"/>
      <c r="G60" s="828"/>
      <c r="H60" s="828"/>
      <c r="I60" s="828"/>
      <c r="J60" s="828"/>
      <c r="K60" s="828"/>
      <c r="L60" s="828"/>
      <c r="M60" s="828"/>
      <c r="N60" s="828"/>
      <c r="O60" s="828"/>
      <c r="P60" s="828"/>
      <c r="Q60" s="828"/>
      <c r="R60" s="828"/>
      <c r="S60" s="828"/>
      <c r="T60" s="828"/>
      <c r="U60" s="828"/>
      <c r="V60" s="828"/>
      <c r="W60" s="828"/>
      <c r="X60" s="828"/>
      <c r="Y60" s="828"/>
    </row>
    <row r="61" spans="1:25" ht="12" customHeight="1" x14ac:dyDescent="0.25">
      <c r="A61" s="831" t="s">
        <v>307</v>
      </c>
      <c r="B61" s="828"/>
      <c r="C61" s="449" t="s">
        <v>293</v>
      </c>
      <c r="D61" s="449" t="s">
        <v>797</v>
      </c>
      <c r="E61" s="831" t="s">
        <v>798</v>
      </c>
      <c r="F61" s="828"/>
      <c r="G61" s="828"/>
      <c r="H61" s="831" t="s">
        <v>293</v>
      </c>
      <c r="I61" s="828"/>
      <c r="J61" s="828"/>
      <c r="K61" s="828"/>
      <c r="L61" s="828"/>
      <c r="M61" s="828"/>
      <c r="N61" s="828"/>
      <c r="O61" s="828"/>
      <c r="P61" s="828"/>
      <c r="Q61" s="828"/>
      <c r="R61" s="828"/>
      <c r="S61" s="828"/>
      <c r="T61" s="828"/>
      <c r="U61" s="843">
        <v>479571.67</v>
      </c>
      <c r="V61" s="828"/>
      <c r="W61" s="828"/>
      <c r="X61" s="828"/>
      <c r="Y61" s="828"/>
    </row>
    <row r="62" spans="1:25" ht="18" x14ac:dyDescent="0.25">
      <c r="A62" s="450" t="s">
        <v>761</v>
      </c>
      <c r="B62" s="446" t="s">
        <v>311</v>
      </c>
      <c r="C62" s="450" t="s">
        <v>799</v>
      </c>
      <c r="D62" s="840" t="s">
        <v>800</v>
      </c>
      <c r="E62" s="828"/>
      <c r="F62" s="828"/>
      <c r="G62" s="446" t="s">
        <v>801</v>
      </c>
      <c r="H62" s="830" t="s">
        <v>802</v>
      </c>
      <c r="I62" s="828"/>
      <c r="J62" s="828"/>
      <c r="K62" s="446" t="s">
        <v>316</v>
      </c>
      <c r="L62" s="830" t="s">
        <v>317</v>
      </c>
      <c r="M62" s="828"/>
      <c r="N62" s="446" t="s">
        <v>318</v>
      </c>
      <c r="O62" s="446" t="s">
        <v>293</v>
      </c>
      <c r="P62" s="446" t="s">
        <v>293</v>
      </c>
      <c r="Q62" s="841">
        <v>513</v>
      </c>
      <c r="R62" s="828"/>
      <c r="S62" s="841">
        <v>3420</v>
      </c>
      <c r="T62" s="828"/>
      <c r="U62" s="842">
        <v>482991.67</v>
      </c>
      <c r="V62" s="828"/>
      <c r="W62" s="828"/>
      <c r="X62" s="828"/>
      <c r="Y62" s="828"/>
    </row>
    <row r="63" spans="1:25" ht="18" x14ac:dyDescent="0.25">
      <c r="A63" s="450" t="s">
        <v>761</v>
      </c>
      <c r="B63" s="446" t="s">
        <v>311</v>
      </c>
      <c r="C63" s="450" t="s">
        <v>803</v>
      </c>
      <c r="D63" s="840" t="s">
        <v>804</v>
      </c>
      <c r="E63" s="828"/>
      <c r="F63" s="828"/>
      <c r="G63" s="446" t="s">
        <v>805</v>
      </c>
      <c r="H63" s="830" t="s">
        <v>806</v>
      </c>
      <c r="I63" s="828"/>
      <c r="J63" s="828"/>
      <c r="K63" s="446" t="s">
        <v>316</v>
      </c>
      <c r="L63" s="830" t="s">
        <v>317</v>
      </c>
      <c r="M63" s="828"/>
      <c r="N63" s="446" t="s">
        <v>318</v>
      </c>
      <c r="O63" s="446" t="s">
        <v>293</v>
      </c>
      <c r="P63" s="446" t="s">
        <v>293</v>
      </c>
      <c r="Q63" s="841">
        <v>6776.6</v>
      </c>
      <c r="R63" s="828"/>
      <c r="S63" s="841">
        <v>45177.3</v>
      </c>
      <c r="T63" s="828"/>
      <c r="U63" s="842">
        <v>528168.97</v>
      </c>
      <c r="V63" s="828"/>
      <c r="W63" s="828"/>
      <c r="X63" s="828"/>
      <c r="Y63" s="828"/>
    </row>
    <row r="64" spans="1:25" ht="18" x14ac:dyDescent="0.25">
      <c r="A64" s="450" t="s">
        <v>807</v>
      </c>
      <c r="B64" s="446" t="s">
        <v>311</v>
      </c>
      <c r="C64" s="450" t="s">
        <v>808</v>
      </c>
      <c r="D64" s="840" t="s">
        <v>809</v>
      </c>
      <c r="E64" s="828"/>
      <c r="F64" s="828"/>
      <c r="G64" s="446" t="s">
        <v>801</v>
      </c>
      <c r="H64" s="830" t="s">
        <v>810</v>
      </c>
      <c r="I64" s="828"/>
      <c r="J64" s="828"/>
      <c r="K64" s="446" t="s">
        <v>316</v>
      </c>
      <c r="L64" s="830" t="s">
        <v>317</v>
      </c>
      <c r="M64" s="828"/>
      <c r="N64" s="446" t="s">
        <v>318</v>
      </c>
      <c r="O64" s="446" t="s">
        <v>293</v>
      </c>
      <c r="P64" s="446" t="s">
        <v>293</v>
      </c>
      <c r="Q64" s="841">
        <v>441</v>
      </c>
      <c r="R64" s="828"/>
      <c r="S64" s="841">
        <v>2940</v>
      </c>
      <c r="T64" s="828"/>
      <c r="U64" s="842">
        <v>531108.97</v>
      </c>
      <c r="V64" s="828"/>
      <c r="W64" s="828"/>
      <c r="X64" s="828"/>
      <c r="Y64" s="828"/>
    </row>
    <row r="65" spans="1:28" x14ac:dyDescent="0.25">
      <c r="A65" s="831" t="s">
        <v>293</v>
      </c>
      <c r="B65" s="828"/>
      <c r="C65" s="828"/>
      <c r="D65" s="828"/>
      <c r="E65" s="831" t="s">
        <v>798</v>
      </c>
      <c r="F65" s="828"/>
      <c r="G65" s="828"/>
      <c r="H65" s="831" t="s">
        <v>293</v>
      </c>
      <c r="I65" s="828"/>
      <c r="J65" s="828"/>
      <c r="K65" s="828"/>
      <c r="L65" s="828"/>
      <c r="M65" s="828"/>
      <c r="N65" s="449" t="s">
        <v>293</v>
      </c>
      <c r="O65" s="449" t="s">
        <v>293</v>
      </c>
      <c r="P65" s="449" t="s">
        <v>293</v>
      </c>
      <c r="Q65" s="843">
        <v>7730.6</v>
      </c>
      <c r="R65" s="828"/>
      <c r="S65" s="843">
        <v>51537.3</v>
      </c>
      <c r="T65" s="828"/>
      <c r="U65" s="843">
        <v>531108.97</v>
      </c>
      <c r="V65" s="828"/>
      <c r="W65" s="828"/>
      <c r="X65" s="828"/>
      <c r="Y65" s="828"/>
      <c r="Z65" s="445"/>
      <c r="AA65" s="445"/>
      <c r="AB65" s="445"/>
    </row>
    <row r="66" spans="1:28" ht="24" customHeight="1" x14ac:dyDescent="0.25">
      <c r="A66" s="833" t="s">
        <v>293</v>
      </c>
      <c r="B66" s="828"/>
      <c r="C66" s="828"/>
      <c r="D66" s="828"/>
      <c r="E66" s="828"/>
      <c r="F66" s="828"/>
      <c r="G66" s="828"/>
      <c r="H66" s="828"/>
      <c r="I66" s="828"/>
      <c r="J66" s="828"/>
      <c r="K66" s="828"/>
      <c r="L66" s="828"/>
      <c r="M66" s="828"/>
      <c r="N66" s="828"/>
      <c r="O66" s="828"/>
      <c r="P66" s="828"/>
      <c r="Q66" s="828"/>
      <c r="R66" s="828"/>
      <c r="S66" s="828"/>
      <c r="T66" s="828"/>
      <c r="U66" s="828"/>
      <c r="V66" s="828"/>
      <c r="W66" s="828"/>
      <c r="X66" s="828"/>
      <c r="Y66" s="828"/>
      <c r="Z66" s="445"/>
      <c r="AA66" s="445"/>
      <c r="AB66" s="445"/>
    </row>
    <row r="67" spans="1:28" ht="12" customHeight="1" x14ac:dyDescent="0.25">
      <c r="A67" s="831" t="s">
        <v>307</v>
      </c>
      <c r="B67" s="828"/>
      <c r="C67" s="449" t="s">
        <v>293</v>
      </c>
      <c r="D67" s="449" t="s">
        <v>308</v>
      </c>
      <c r="E67" s="831" t="s">
        <v>309</v>
      </c>
      <c r="F67" s="828"/>
      <c r="G67" s="828"/>
      <c r="H67" s="831" t="s">
        <v>293</v>
      </c>
      <c r="I67" s="828"/>
      <c r="J67" s="828"/>
      <c r="K67" s="828"/>
      <c r="L67" s="828"/>
      <c r="M67" s="828"/>
      <c r="N67" s="828"/>
      <c r="O67" s="828"/>
      <c r="P67" s="828"/>
      <c r="Q67" s="828"/>
      <c r="R67" s="828"/>
      <c r="S67" s="828"/>
      <c r="T67" s="828"/>
      <c r="U67" s="843">
        <v>42390.2</v>
      </c>
      <c r="V67" s="828"/>
      <c r="W67" s="828"/>
      <c r="X67" s="828"/>
      <c r="Y67" s="828"/>
      <c r="Z67" s="445"/>
      <c r="AA67" s="445"/>
      <c r="AB67" s="445"/>
    </row>
    <row r="68" spans="1:28" x14ac:dyDescent="0.25">
      <c r="A68" s="450" t="s">
        <v>719</v>
      </c>
      <c r="B68" s="446" t="s">
        <v>325</v>
      </c>
      <c r="C68" s="450" t="s">
        <v>811</v>
      </c>
      <c r="D68" s="840" t="s">
        <v>812</v>
      </c>
      <c r="E68" s="828"/>
      <c r="F68" s="828"/>
      <c r="G68" s="446" t="s">
        <v>293</v>
      </c>
      <c r="H68" s="830" t="s">
        <v>293</v>
      </c>
      <c r="I68" s="828"/>
      <c r="J68" s="828"/>
      <c r="K68" s="446" t="s">
        <v>316</v>
      </c>
      <c r="L68" s="830" t="s">
        <v>317</v>
      </c>
      <c r="M68" s="828"/>
      <c r="N68" s="446" t="s">
        <v>318</v>
      </c>
      <c r="O68" s="446" t="s">
        <v>293</v>
      </c>
      <c r="P68" s="446" t="s">
        <v>293</v>
      </c>
      <c r="Q68" s="841">
        <v>0</v>
      </c>
      <c r="R68" s="828"/>
      <c r="S68" s="841">
        <v>-10350</v>
      </c>
      <c r="T68" s="828"/>
      <c r="U68" s="842">
        <v>32040.2</v>
      </c>
      <c r="V68" s="828"/>
      <c r="W68" s="828"/>
      <c r="X68" s="828"/>
      <c r="Y68" s="828"/>
      <c r="Z68" s="445"/>
      <c r="AA68" s="445"/>
      <c r="AB68" s="445"/>
    </row>
    <row r="69" spans="1:28" x14ac:dyDescent="0.25">
      <c r="A69" s="450" t="s">
        <v>761</v>
      </c>
      <c r="B69" s="446" t="s">
        <v>311</v>
      </c>
      <c r="C69" s="450" t="s">
        <v>813</v>
      </c>
      <c r="D69" s="840" t="s">
        <v>814</v>
      </c>
      <c r="E69" s="828"/>
      <c r="F69" s="828"/>
      <c r="G69" s="446" t="s">
        <v>314</v>
      </c>
      <c r="H69" s="830" t="s">
        <v>815</v>
      </c>
      <c r="I69" s="828"/>
      <c r="J69" s="828"/>
      <c r="K69" s="446" t="s">
        <v>316</v>
      </c>
      <c r="L69" s="830" t="s">
        <v>317</v>
      </c>
      <c r="M69" s="828"/>
      <c r="N69" s="446" t="s">
        <v>318</v>
      </c>
      <c r="O69" s="446" t="s">
        <v>293</v>
      </c>
      <c r="P69" s="446" t="s">
        <v>293</v>
      </c>
      <c r="Q69" s="841">
        <v>367.5</v>
      </c>
      <c r="R69" s="828"/>
      <c r="S69" s="841">
        <v>2450</v>
      </c>
      <c r="T69" s="828"/>
      <c r="U69" s="842">
        <v>34490.199999999997</v>
      </c>
      <c r="V69" s="828"/>
      <c r="W69" s="828"/>
      <c r="X69" s="828"/>
      <c r="Y69" s="828"/>
      <c r="Z69" s="445"/>
      <c r="AA69" s="445"/>
      <c r="AB69" s="445"/>
    </row>
    <row r="70" spans="1:28" x14ac:dyDescent="0.25">
      <c r="A70" s="450" t="s">
        <v>761</v>
      </c>
      <c r="B70" s="446" t="s">
        <v>311</v>
      </c>
      <c r="C70" s="450" t="s">
        <v>813</v>
      </c>
      <c r="D70" s="840" t="s">
        <v>816</v>
      </c>
      <c r="E70" s="828"/>
      <c r="F70" s="828"/>
      <c r="G70" s="446" t="s">
        <v>314</v>
      </c>
      <c r="H70" s="830" t="s">
        <v>815</v>
      </c>
      <c r="I70" s="828"/>
      <c r="J70" s="828"/>
      <c r="K70" s="446" t="s">
        <v>316</v>
      </c>
      <c r="L70" s="830" t="s">
        <v>317</v>
      </c>
      <c r="M70" s="828"/>
      <c r="N70" s="446" t="s">
        <v>318</v>
      </c>
      <c r="O70" s="446" t="s">
        <v>293</v>
      </c>
      <c r="P70" s="446" t="s">
        <v>293</v>
      </c>
      <c r="Q70" s="841">
        <v>367.5</v>
      </c>
      <c r="R70" s="828"/>
      <c r="S70" s="841">
        <v>2450</v>
      </c>
      <c r="T70" s="828"/>
      <c r="U70" s="842">
        <v>36940.199999999997</v>
      </c>
      <c r="V70" s="828"/>
      <c r="W70" s="828"/>
      <c r="X70" s="828"/>
      <c r="Y70" s="828"/>
      <c r="Z70" s="445"/>
      <c r="AA70" s="445"/>
      <c r="AB70" s="445"/>
    </row>
    <row r="71" spans="1:28" x14ac:dyDescent="0.25">
      <c r="A71" s="450" t="s">
        <v>761</v>
      </c>
      <c r="B71" s="446" t="s">
        <v>311</v>
      </c>
      <c r="C71" s="450" t="s">
        <v>813</v>
      </c>
      <c r="D71" s="840" t="s">
        <v>313</v>
      </c>
      <c r="E71" s="828"/>
      <c r="F71" s="828"/>
      <c r="G71" s="446" t="s">
        <v>314</v>
      </c>
      <c r="H71" s="830" t="s">
        <v>815</v>
      </c>
      <c r="I71" s="828"/>
      <c r="J71" s="828"/>
      <c r="K71" s="446" t="s">
        <v>316</v>
      </c>
      <c r="L71" s="830" t="s">
        <v>317</v>
      </c>
      <c r="M71" s="828"/>
      <c r="N71" s="446" t="s">
        <v>318</v>
      </c>
      <c r="O71" s="446" t="s">
        <v>293</v>
      </c>
      <c r="P71" s="446" t="s">
        <v>293</v>
      </c>
      <c r="Q71" s="841">
        <v>97.5</v>
      </c>
      <c r="R71" s="828"/>
      <c r="S71" s="841">
        <v>650</v>
      </c>
      <c r="T71" s="828"/>
      <c r="U71" s="842">
        <v>37590.199999999997</v>
      </c>
      <c r="V71" s="828"/>
      <c r="W71" s="828"/>
      <c r="X71" s="828"/>
      <c r="Y71" s="828"/>
      <c r="Z71" s="445"/>
      <c r="AA71" s="445"/>
      <c r="AB71" s="445"/>
    </row>
    <row r="72" spans="1:28" x14ac:dyDescent="0.25">
      <c r="A72" s="831" t="s">
        <v>293</v>
      </c>
      <c r="B72" s="828"/>
      <c r="C72" s="828"/>
      <c r="D72" s="828"/>
      <c r="E72" s="831" t="s">
        <v>309</v>
      </c>
      <c r="F72" s="828"/>
      <c r="G72" s="828"/>
      <c r="H72" s="831" t="s">
        <v>293</v>
      </c>
      <c r="I72" s="828"/>
      <c r="J72" s="828"/>
      <c r="K72" s="828"/>
      <c r="L72" s="828"/>
      <c r="M72" s="828"/>
      <c r="N72" s="449" t="s">
        <v>293</v>
      </c>
      <c r="O72" s="449" t="s">
        <v>293</v>
      </c>
      <c r="P72" s="449" t="s">
        <v>293</v>
      </c>
      <c r="Q72" s="843">
        <v>832.5</v>
      </c>
      <c r="R72" s="828"/>
      <c r="S72" s="843">
        <v>-4800</v>
      </c>
      <c r="T72" s="828"/>
      <c r="U72" s="843">
        <v>37590.199999999997</v>
      </c>
      <c r="V72" s="828"/>
      <c r="W72" s="828"/>
      <c r="X72" s="828"/>
      <c r="Y72" s="828"/>
      <c r="Z72" s="445"/>
      <c r="AA72" s="445"/>
      <c r="AB72" s="445"/>
    </row>
    <row r="73" spans="1:28" ht="24" customHeight="1" x14ac:dyDescent="0.25">
      <c r="A73" s="833" t="s">
        <v>293</v>
      </c>
      <c r="B73" s="828"/>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445"/>
      <c r="AA73" s="445"/>
      <c r="AB73" s="445"/>
    </row>
    <row r="74" spans="1:28" ht="12" customHeight="1" x14ac:dyDescent="0.25">
      <c r="A74" s="831" t="s">
        <v>307</v>
      </c>
      <c r="B74" s="828"/>
      <c r="C74" s="449" t="s">
        <v>293</v>
      </c>
      <c r="D74" s="449" t="s">
        <v>328</v>
      </c>
      <c r="E74" s="831" t="s">
        <v>329</v>
      </c>
      <c r="F74" s="828"/>
      <c r="G74" s="828"/>
      <c r="H74" s="831" t="s">
        <v>293</v>
      </c>
      <c r="I74" s="828"/>
      <c r="J74" s="828"/>
      <c r="K74" s="828"/>
      <c r="L74" s="828"/>
      <c r="M74" s="828"/>
      <c r="N74" s="828"/>
      <c r="O74" s="828"/>
      <c r="P74" s="828"/>
      <c r="Q74" s="828"/>
      <c r="R74" s="828"/>
      <c r="S74" s="828"/>
      <c r="T74" s="828"/>
      <c r="U74" s="843">
        <v>18454.490000000002</v>
      </c>
      <c r="V74" s="828"/>
      <c r="W74" s="828"/>
      <c r="X74" s="828"/>
      <c r="Y74" s="828"/>
      <c r="Z74" s="445"/>
      <c r="AA74" s="445"/>
      <c r="AB74" s="445"/>
    </row>
    <row r="75" spans="1:28" s="464" customFormat="1" ht="18" x14ac:dyDescent="0.25">
      <c r="A75" s="451" t="s">
        <v>735</v>
      </c>
      <c r="B75" s="452" t="s">
        <v>325</v>
      </c>
      <c r="C75" s="451" t="s">
        <v>817</v>
      </c>
      <c r="D75" s="844" t="s">
        <v>818</v>
      </c>
      <c r="E75" s="845"/>
      <c r="F75" s="845"/>
      <c r="G75" s="452" t="s">
        <v>293</v>
      </c>
      <c r="H75" s="846" t="s">
        <v>293</v>
      </c>
      <c r="I75" s="845"/>
      <c r="J75" s="845"/>
      <c r="K75" s="452" t="s">
        <v>316</v>
      </c>
      <c r="L75" s="846" t="s">
        <v>317</v>
      </c>
      <c r="M75" s="845"/>
      <c r="N75" s="452" t="s">
        <v>333</v>
      </c>
      <c r="O75" s="452" t="s">
        <v>293</v>
      </c>
      <c r="P75" s="452" t="s">
        <v>293</v>
      </c>
      <c r="Q75" s="847">
        <v>32.92</v>
      </c>
      <c r="R75" s="845"/>
      <c r="S75" s="847">
        <v>219.5</v>
      </c>
      <c r="T75" s="845"/>
      <c r="U75" s="848">
        <v>18673.990000000002</v>
      </c>
      <c r="V75" s="845"/>
      <c r="W75" s="845"/>
      <c r="X75" s="845"/>
      <c r="Y75" s="845"/>
      <c r="Z75" s="453"/>
      <c r="AA75" s="453"/>
      <c r="AB75" s="453" t="s">
        <v>819</v>
      </c>
    </row>
    <row r="76" spans="1:28" s="464" customFormat="1" x14ac:dyDescent="0.25">
      <c r="A76" s="451" t="s">
        <v>820</v>
      </c>
      <c r="B76" s="452" t="s">
        <v>325</v>
      </c>
      <c r="C76" s="451" t="s">
        <v>821</v>
      </c>
      <c r="D76" s="844" t="s">
        <v>818</v>
      </c>
      <c r="E76" s="845"/>
      <c r="F76" s="845"/>
      <c r="G76" s="452" t="s">
        <v>293</v>
      </c>
      <c r="H76" s="846" t="s">
        <v>293</v>
      </c>
      <c r="I76" s="845"/>
      <c r="J76" s="845"/>
      <c r="K76" s="452" t="s">
        <v>316</v>
      </c>
      <c r="L76" s="846" t="s">
        <v>317</v>
      </c>
      <c r="M76" s="845"/>
      <c r="N76" s="452" t="s">
        <v>333</v>
      </c>
      <c r="O76" s="452" t="s">
        <v>293</v>
      </c>
      <c r="P76" s="452" t="s">
        <v>293</v>
      </c>
      <c r="Q76" s="847">
        <v>0</v>
      </c>
      <c r="R76" s="845"/>
      <c r="S76" s="847">
        <v>32.92</v>
      </c>
      <c r="T76" s="845"/>
      <c r="U76" s="848">
        <v>18706.91</v>
      </c>
      <c r="V76" s="845"/>
      <c r="W76" s="845"/>
      <c r="X76" s="845"/>
      <c r="Y76" s="845"/>
      <c r="Z76" s="453"/>
      <c r="AA76" s="453"/>
      <c r="AB76" s="453" t="s">
        <v>819</v>
      </c>
    </row>
    <row r="77" spans="1:28" x14ac:dyDescent="0.25">
      <c r="A77" s="831" t="s">
        <v>293</v>
      </c>
      <c r="B77" s="828"/>
      <c r="C77" s="828"/>
      <c r="D77" s="828"/>
      <c r="E77" s="831" t="s">
        <v>329</v>
      </c>
      <c r="F77" s="828"/>
      <c r="G77" s="828"/>
      <c r="H77" s="831" t="s">
        <v>293</v>
      </c>
      <c r="I77" s="828"/>
      <c r="J77" s="828"/>
      <c r="K77" s="828"/>
      <c r="L77" s="828"/>
      <c r="M77" s="828"/>
      <c r="N77" s="449" t="s">
        <v>293</v>
      </c>
      <c r="O77" s="449" t="s">
        <v>293</v>
      </c>
      <c r="P77" s="449" t="s">
        <v>293</v>
      </c>
      <c r="Q77" s="843">
        <v>32.92</v>
      </c>
      <c r="R77" s="828"/>
      <c r="S77" s="843">
        <v>252.42</v>
      </c>
      <c r="T77" s="828"/>
      <c r="U77" s="843">
        <v>18706.91</v>
      </c>
      <c r="V77" s="828"/>
      <c r="W77" s="828"/>
      <c r="X77" s="828"/>
      <c r="Y77" s="828"/>
      <c r="Z77" s="445"/>
      <c r="AA77" s="445"/>
      <c r="AB77" s="445"/>
    </row>
    <row r="78" spans="1:28" s="464" customFormat="1" ht="24" customHeight="1" x14ac:dyDescent="0.25">
      <c r="A78" s="482" t="s">
        <v>822</v>
      </c>
      <c r="B78" s="483" t="s">
        <v>311</v>
      </c>
      <c r="C78" s="482" t="s">
        <v>823</v>
      </c>
      <c r="D78" s="869" t="s">
        <v>824</v>
      </c>
      <c r="E78" s="870"/>
      <c r="F78" s="870"/>
      <c r="G78" s="483" t="s">
        <v>825</v>
      </c>
      <c r="H78" s="871" t="s">
        <v>826</v>
      </c>
      <c r="I78" s="870"/>
      <c r="J78" s="870"/>
      <c r="K78" s="483" t="s">
        <v>827</v>
      </c>
      <c r="L78" s="871" t="s">
        <v>317</v>
      </c>
      <c r="M78" s="870"/>
      <c r="N78" s="483" t="s">
        <v>333</v>
      </c>
      <c r="O78" s="483" t="s">
        <v>293</v>
      </c>
      <c r="P78" s="483" t="s">
        <v>293</v>
      </c>
      <c r="Q78" s="872">
        <v>46.96</v>
      </c>
      <c r="R78" s="870"/>
      <c r="S78" s="872">
        <v>313.05</v>
      </c>
      <c r="T78" s="870"/>
      <c r="U78" s="873">
        <v>26533.41</v>
      </c>
      <c r="V78" s="870"/>
      <c r="W78" s="870"/>
      <c r="X78" s="870"/>
      <c r="Y78" s="870"/>
      <c r="Z78" s="484"/>
      <c r="AA78" s="484"/>
      <c r="AB78" s="453" t="s">
        <v>819</v>
      </c>
    </row>
    <row r="79" spans="1:28" ht="24" customHeight="1" x14ac:dyDescent="0.25">
      <c r="A79" s="485"/>
      <c r="B79" s="486"/>
      <c r="C79" s="485"/>
      <c r="D79" s="485"/>
      <c r="E79" s="487"/>
      <c r="F79" s="487"/>
      <c r="G79" s="486"/>
      <c r="H79" s="486"/>
      <c r="I79" s="487"/>
      <c r="J79" s="487"/>
      <c r="K79" s="486"/>
      <c r="L79" s="486"/>
      <c r="M79" s="487"/>
      <c r="N79" s="486"/>
      <c r="O79" s="486"/>
      <c r="P79" s="486"/>
      <c r="Q79" s="488"/>
      <c r="R79" s="487"/>
      <c r="S79" s="488"/>
      <c r="T79" s="487"/>
      <c r="U79" s="489"/>
      <c r="V79" s="487"/>
      <c r="W79" s="487"/>
      <c r="X79" s="487"/>
      <c r="Y79" s="487"/>
      <c r="Z79" s="487"/>
      <c r="AA79" s="487"/>
      <c r="AB79" s="445"/>
    </row>
    <row r="80" spans="1:28" ht="24" customHeight="1" x14ac:dyDescent="0.25">
      <c r="A80" s="485"/>
      <c r="B80" s="486"/>
      <c r="C80" s="485"/>
      <c r="D80" s="485"/>
      <c r="E80" s="487"/>
      <c r="F80" s="487"/>
      <c r="G80" s="486"/>
      <c r="H80" s="486"/>
      <c r="I80" s="487"/>
      <c r="J80" s="487"/>
      <c r="K80" s="486"/>
      <c r="L80" s="486"/>
      <c r="M80" s="487"/>
      <c r="N80" s="486"/>
      <c r="O80" s="486"/>
      <c r="P80" s="486"/>
      <c r="Q80" s="488"/>
      <c r="R80" s="487"/>
      <c r="S80" s="488"/>
      <c r="T80" s="487"/>
      <c r="U80" s="489"/>
      <c r="V80" s="487"/>
      <c r="W80" s="487"/>
      <c r="X80" s="487"/>
      <c r="Y80" s="487"/>
      <c r="Z80" s="487"/>
      <c r="AA80" s="487"/>
      <c r="AB80" s="445"/>
    </row>
    <row r="81" spans="1:28" ht="12" customHeight="1" x14ac:dyDescent="0.25">
      <c r="A81" s="831" t="s">
        <v>307</v>
      </c>
      <c r="B81" s="828"/>
      <c r="C81" s="449" t="s">
        <v>293</v>
      </c>
      <c r="D81" s="449" t="s">
        <v>828</v>
      </c>
      <c r="E81" s="831" t="s">
        <v>829</v>
      </c>
      <c r="F81" s="828"/>
      <c r="G81" s="828"/>
      <c r="H81" s="831" t="s">
        <v>293</v>
      </c>
      <c r="I81" s="828"/>
      <c r="J81" s="828"/>
      <c r="K81" s="828"/>
      <c r="L81" s="828"/>
      <c r="M81" s="828"/>
      <c r="N81" s="828"/>
      <c r="O81" s="828"/>
      <c r="P81" s="828"/>
      <c r="Q81" s="828"/>
      <c r="R81" s="828"/>
      <c r="S81" s="828"/>
      <c r="T81" s="828"/>
      <c r="U81" s="843">
        <v>1334.06</v>
      </c>
      <c r="V81" s="828"/>
      <c r="W81" s="828"/>
      <c r="X81" s="828"/>
      <c r="Y81" s="828"/>
      <c r="Z81" s="445"/>
      <c r="AA81" s="445"/>
      <c r="AB81" s="445"/>
    </row>
    <row r="82" spans="1:28" s="464" customFormat="1" ht="18" x14ac:dyDescent="0.25">
      <c r="A82" s="451" t="s">
        <v>703</v>
      </c>
      <c r="B82" s="452" t="s">
        <v>325</v>
      </c>
      <c r="C82" s="451" t="s">
        <v>830</v>
      </c>
      <c r="D82" s="844" t="s">
        <v>831</v>
      </c>
      <c r="E82" s="845"/>
      <c r="F82" s="845"/>
      <c r="G82" s="452" t="s">
        <v>293</v>
      </c>
      <c r="H82" s="846" t="s">
        <v>293</v>
      </c>
      <c r="I82" s="845"/>
      <c r="J82" s="845"/>
      <c r="K82" s="452" t="s">
        <v>316</v>
      </c>
      <c r="L82" s="846" t="s">
        <v>411</v>
      </c>
      <c r="M82" s="845"/>
      <c r="N82" s="452" t="s">
        <v>333</v>
      </c>
      <c r="O82" s="452" t="s">
        <v>293</v>
      </c>
      <c r="P82" s="452" t="s">
        <v>293</v>
      </c>
      <c r="Q82" s="847">
        <v>14.74</v>
      </c>
      <c r="R82" s="845"/>
      <c r="S82" s="847">
        <v>98.26</v>
      </c>
      <c r="T82" s="845"/>
      <c r="U82" s="848">
        <v>1432.32</v>
      </c>
      <c r="V82" s="845"/>
      <c r="W82" s="845"/>
      <c r="X82" s="845"/>
      <c r="Y82" s="845"/>
      <c r="Z82" s="453"/>
      <c r="AA82" s="453"/>
      <c r="AB82" s="453" t="s">
        <v>832</v>
      </c>
    </row>
    <row r="83" spans="1:28" s="464" customFormat="1" ht="18" x14ac:dyDescent="0.25">
      <c r="A83" s="451" t="s">
        <v>703</v>
      </c>
      <c r="B83" s="452" t="s">
        <v>325</v>
      </c>
      <c r="C83" s="451" t="s">
        <v>833</v>
      </c>
      <c r="D83" s="844" t="s">
        <v>834</v>
      </c>
      <c r="E83" s="845"/>
      <c r="F83" s="845"/>
      <c r="G83" s="452" t="s">
        <v>293</v>
      </c>
      <c r="H83" s="846" t="s">
        <v>293</v>
      </c>
      <c r="I83" s="845"/>
      <c r="J83" s="845"/>
      <c r="K83" s="452" t="s">
        <v>316</v>
      </c>
      <c r="L83" s="846" t="s">
        <v>411</v>
      </c>
      <c r="M83" s="845"/>
      <c r="N83" s="452" t="s">
        <v>333</v>
      </c>
      <c r="O83" s="452" t="s">
        <v>293</v>
      </c>
      <c r="P83" s="452" t="s">
        <v>293</v>
      </c>
      <c r="Q83" s="847">
        <v>2.4700000000000002</v>
      </c>
      <c r="R83" s="845"/>
      <c r="S83" s="847">
        <v>16.43</v>
      </c>
      <c r="T83" s="845"/>
      <c r="U83" s="848">
        <v>1448.75</v>
      </c>
      <c r="V83" s="845"/>
      <c r="W83" s="845"/>
      <c r="X83" s="845"/>
      <c r="Y83" s="845"/>
      <c r="Z83" s="453"/>
      <c r="AA83" s="453"/>
      <c r="AB83" s="453" t="s">
        <v>835</v>
      </c>
    </row>
    <row r="84" spans="1:28" s="465" customFormat="1" ht="18" x14ac:dyDescent="0.25">
      <c r="A84" s="554" t="s">
        <v>735</v>
      </c>
      <c r="B84" s="555" t="s">
        <v>325</v>
      </c>
      <c r="C84" s="554" t="s">
        <v>836</v>
      </c>
      <c r="D84" s="864" t="s">
        <v>837</v>
      </c>
      <c r="E84" s="865"/>
      <c r="F84" s="865"/>
      <c r="G84" s="555" t="s">
        <v>293</v>
      </c>
      <c r="H84" s="866" t="s">
        <v>293</v>
      </c>
      <c r="I84" s="865"/>
      <c r="J84" s="865"/>
      <c r="K84" s="555" t="s">
        <v>316</v>
      </c>
      <c r="L84" s="866" t="s">
        <v>317</v>
      </c>
      <c r="M84" s="865"/>
      <c r="N84" s="555" t="s">
        <v>333</v>
      </c>
      <c r="O84" s="555" t="s">
        <v>293</v>
      </c>
      <c r="P84" s="555" t="s">
        <v>293</v>
      </c>
      <c r="Q84" s="867">
        <v>0.52</v>
      </c>
      <c r="R84" s="865"/>
      <c r="S84" s="867">
        <v>3.48</v>
      </c>
      <c r="T84" s="865"/>
      <c r="U84" s="868">
        <v>1452.23</v>
      </c>
      <c r="V84" s="865"/>
      <c r="W84" s="865"/>
      <c r="X84" s="865"/>
      <c r="Y84" s="865"/>
      <c r="Z84" s="556"/>
      <c r="AA84" s="556"/>
      <c r="AB84" s="556"/>
    </row>
    <row r="85" spans="1:28" x14ac:dyDescent="0.25">
      <c r="A85" s="831" t="s">
        <v>293</v>
      </c>
      <c r="B85" s="828"/>
      <c r="C85" s="828"/>
      <c r="D85" s="828"/>
      <c r="E85" s="831" t="s">
        <v>829</v>
      </c>
      <c r="F85" s="828"/>
      <c r="G85" s="828"/>
      <c r="H85" s="831" t="s">
        <v>293</v>
      </c>
      <c r="I85" s="828"/>
      <c r="J85" s="828"/>
      <c r="K85" s="828"/>
      <c r="L85" s="828"/>
      <c r="M85" s="828"/>
      <c r="N85" s="449" t="s">
        <v>293</v>
      </c>
      <c r="O85" s="449" t="s">
        <v>293</v>
      </c>
      <c r="P85" s="449" t="s">
        <v>293</v>
      </c>
      <c r="Q85" s="843">
        <v>17.73</v>
      </c>
      <c r="R85" s="828"/>
      <c r="S85" s="843">
        <v>118.17</v>
      </c>
      <c r="T85" s="828"/>
      <c r="U85" s="843">
        <v>1452.23</v>
      </c>
      <c r="V85" s="828"/>
      <c r="W85" s="828"/>
      <c r="X85" s="828"/>
      <c r="Y85" s="828"/>
      <c r="Z85" s="445"/>
      <c r="AA85" s="445"/>
      <c r="AB85" s="445"/>
    </row>
    <row r="86" spans="1:28" ht="24" customHeight="1" x14ac:dyDescent="0.25">
      <c r="A86" s="833" t="s">
        <v>293</v>
      </c>
      <c r="B86" s="828"/>
      <c r="C86" s="828"/>
      <c r="D86" s="828"/>
      <c r="E86" s="828"/>
      <c r="F86" s="828"/>
      <c r="G86" s="828"/>
      <c r="H86" s="828"/>
      <c r="I86" s="828"/>
      <c r="J86" s="828"/>
      <c r="K86" s="828"/>
      <c r="L86" s="828"/>
      <c r="M86" s="828"/>
      <c r="N86" s="828"/>
      <c r="O86" s="828"/>
      <c r="P86" s="828"/>
      <c r="Q86" s="828"/>
      <c r="R86" s="828"/>
      <c r="S86" s="828"/>
      <c r="T86" s="828"/>
      <c r="U86" s="828"/>
      <c r="V86" s="828"/>
      <c r="W86" s="828"/>
      <c r="X86" s="828"/>
      <c r="Y86" s="828"/>
      <c r="Z86" s="445"/>
      <c r="AA86" s="445"/>
      <c r="AB86" s="445"/>
    </row>
    <row r="87" spans="1:28" ht="12" customHeight="1" x14ac:dyDescent="0.25">
      <c r="A87" s="831" t="s">
        <v>307</v>
      </c>
      <c r="B87" s="828"/>
      <c r="C87" s="449" t="s">
        <v>293</v>
      </c>
      <c r="D87" s="449" t="s">
        <v>338</v>
      </c>
      <c r="E87" s="831" t="s">
        <v>339</v>
      </c>
      <c r="F87" s="828"/>
      <c r="G87" s="828"/>
      <c r="H87" s="831" t="s">
        <v>293</v>
      </c>
      <c r="I87" s="828"/>
      <c r="J87" s="828"/>
      <c r="K87" s="828"/>
      <c r="L87" s="828"/>
      <c r="M87" s="828"/>
      <c r="N87" s="828"/>
      <c r="O87" s="828"/>
      <c r="P87" s="828"/>
      <c r="Q87" s="828"/>
      <c r="R87" s="828"/>
      <c r="S87" s="828"/>
      <c r="T87" s="828"/>
      <c r="U87" s="843">
        <v>1496.82</v>
      </c>
      <c r="V87" s="828"/>
      <c r="W87" s="828"/>
      <c r="X87" s="828"/>
      <c r="Y87" s="828"/>
      <c r="Z87" s="445"/>
      <c r="AA87" s="445"/>
      <c r="AB87" s="445"/>
    </row>
    <row r="88" spans="1:28" x14ac:dyDescent="0.25">
      <c r="A88" s="450" t="s">
        <v>703</v>
      </c>
      <c r="B88" s="446" t="s">
        <v>311</v>
      </c>
      <c r="C88" s="450" t="s">
        <v>838</v>
      </c>
      <c r="D88" s="840" t="s">
        <v>839</v>
      </c>
      <c r="E88" s="828"/>
      <c r="F88" s="828"/>
      <c r="G88" s="446" t="s">
        <v>481</v>
      </c>
      <c r="H88" s="830" t="s">
        <v>840</v>
      </c>
      <c r="I88" s="828"/>
      <c r="J88" s="828"/>
      <c r="K88" s="446" t="s">
        <v>316</v>
      </c>
      <c r="L88" s="830" t="s">
        <v>317</v>
      </c>
      <c r="M88" s="828"/>
      <c r="N88" s="446" t="s">
        <v>318</v>
      </c>
      <c r="O88" s="446" t="s">
        <v>293</v>
      </c>
      <c r="P88" s="446" t="s">
        <v>293</v>
      </c>
      <c r="Q88" s="841">
        <v>8.2200000000000006</v>
      </c>
      <c r="R88" s="828"/>
      <c r="S88" s="841">
        <v>54.78</v>
      </c>
      <c r="T88" s="828"/>
      <c r="U88" s="842">
        <v>1551.6</v>
      </c>
      <c r="V88" s="828"/>
      <c r="W88" s="828"/>
      <c r="X88" s="828"/>
      <c r="Y88" s="828"/>
      <c r="Z88" s="445"/>
      <c r="AA88" s="445"/>
      <c r="AB88" s="445"/>
    </row>
    <row r="89" spans="1:28" ht="18" x14ac:dyDescent="0.25">
      <c r="A89" s="450" t="s">
        <v>841</v>
      </c>
      <c r="B89" s="446" t="s">
        <v>311</v>
      </c>
      <c r="C89" s="450" t="s">
        <v>842</v>
      </c>
      <c r="D89" s="840" t="s">
        <v>843</v>
      </c>
      <c r="E89" s="828"/>
      <c r="F89" s="828"/>
      <c r="G89" s="446" t="s">
        <v>342</v>
      </c>
      <c r="H89" s="830" t="s">
        <v>844</v>
      </c>
      <c r="I89" s="828"/>
      <c r="J89" s="828"/>
      <c r="K89" s="446" t="s">
        <v>316</v>
      </c>
      <c r="L89" s="830" t="s">
        <v>317</v>
      </c>
      <c r="M89" s="828"/>
      <c r="N89" s="446" t="s">
        <v>318</v>
      </c>
      <c r="O89" s="446" t="s">
        <v>293</v>
      </c>
      <c r="P89" s="446" t="s">
        <v>293</v>
      </c>
      <c r="Q89" s="841">
        <v>26.16</v>
      </c>
      <c r="R89" s="828"/>
      <c r="S89" s="841">
        <v>174.4</v>
      </c>
      <c r="T89" s="828"/>
      <c r="U89" s="842">
        <v>1726</v>
      </c>
      <c r="V89" s="828"/>
      <c r="W89" s="828"/>
      <c r="X89" s="828"/>
      <c r="Y89" s="828"/>
      <c r="Z89" s="445"/>
      <c r="AA89" s="445"/>
      <c r="AB89" s="445" t="s">
        <v>845</v>
      </c>
    </row>
    <row r="90" spans="1:28" x14ac:dyDescent="0.25">
      <c r="A90" s="831" t="s">
        <v>293</v>
      </c>
      <c r="B90" s="828"/>
      <c r="C90" s="828"/>
      <c r="D90" s="828"/>
      <c r="E90" s="831" t="s">
        <v>339</v>
      </c>
      <c r="F90" s="828"/>
      <c r="G90" s="828"/>
      <c r="H90" s="831" t="s">
        <v>293</v>
      </c>
      <c r="I90" s="828"/>
      <c r="J90" s="828"/>
      <c r="K90" s="828"/>
      <c r="L90" s="828"/>
      <c r="M90" s="828"/>
      <c r="N90" s="449" t="s">
        <v>293</v>
      </c>
      <c r="O90" s="449" t="s">
        <v>293</v>
      </c>
      <c r="P90" s="449" t="s">
        <v>293</v>
      </c>
      <c r="Q90" s="843">
        <v>34.380000000000003</v>
      </c>
      <c r="R90" s="828"/>
      <c r="S90" s="843">
        <v>229.18</v>
      </c>
      <c r="T90" s="828"/>
      <c r="U90" s="843">
        <v>1726</v>
      </c>
      <c r="V90" s="828"/>
      <c r="W90" s="828"/>
      <c r="X90" s="828"/>
      <c r="Y90" s="828"/>
      <c r="Z90" s="445"/>
      <c r="AA90" s="445"/>
      <c r="AB90" s="445"/>
    </row>
    <row r="91" spans="1:28" ht="24" customHeight="1" x14ac:dyDescent="0.25">
      <c r="A91" s="833" t="s">
        <v>293</v>
      </c>
      <c r="B91" s="828"/>
      <c r="C91" s="828"/>
      <c r="D91" s="828"/>
      <c r="E91" s="828"/>
      <c r="F91" s="828"/>
      <c r="G91" s="828"/>
      <c r="H91" s="828"/>
      <c r="I91" s="828"/>
      <c r="J91" s="828"/>
      <c r="K91" s="828"/>
      <c r="L91" s="828"/>
      <c r="M91" s="828"/>
      <c r="N91" s="828"/>
      <c r="O91" s="828"/>
      <c r="P91" s="828"/>
      <c r="Q91" s="828"/>
      <c r="R91" s="828"/>
      <c r="S91" s="828"/>
      <c r="T91" s="828"/>
      <c r="U91" s="828"/>
      <c r="V91" s="828"/>
      <c r="W91" s="828"/>
      <c r="X91" s="828"/>
      <c r="Y91" s="828"/>
      <c r="Z91" s="445"/>
      <c r="AA91" s="445"/>
      <c r="AB91" s="445"/>
    </row>
    <row r="92" spans="1:28" ht="12" customHeight="1" x14ac:dyDescent="0.25">
      <c r="A92" s="831" t="s">
        <v>307</v>
      </c>
      <c r="B92" s="828"/>
      <c r="C92" s="449" t="s">
        <v>293</v>
      </c>
      <c r="D92" s="449" t="s">
        <v>344</v>
      </c>
      <c r="E92" s="831" t="s">
        <v>345</v>
      </c>
      <c r="F92" s="828"/>
      <c r="G92" s="828"/>
      <c r="H92" s="831" t="s">
        <v>293</v>
      </c>
      <c r="I92" s="828"/>
      <c r="J92" s="828"/>
      <c r="K92" s="828"/>
      <c r="L92" s="828"/>
      <c r="M92" s="828"/>
      <c r="N92" s="828"/>
      <c r="O92" s="828"/>
      <c r="P92" s="828"/>
      <c r="Q92" s="828"/>
      <c r="R92" s="828"/>
      <c r="S92" s="828"/>
      <c r="T92" s="828"/>
      <c r="U92" s="843">
        <v>498.81</v>
      </c>
      <c r="V92" s="828"/>
      <c r="W92" s="828"/>
      <c r="X92" s="828"/>
      <c r="Y92" s="828"/>
      <c r="Z92" s="445"/>
      <c r="AA92" s="445"/>
      <c r="AB92" s="445"/>
    </row>
    <row r="93" spans="1:28" s="464" customFormat="1" ht="18" x14ac:dyDescent="0.25">
      <c r="A93" s="451" t="s">
        <v>703</v>
      </c>
      <c r="B93" s="452" t="s">
        <v>325</v>
      </c>
      <c r="C93" s="451" t="s">
        <v>846</v>
      </c>
      <c r="D93" s="844" t="s">
        <v>847</v>
      </c>
      <c r="E93" s="845"/>
      <c r="F93" s="845"/>
      <c r="G93" s="452" t="s">
        <v>293</v>
      </c>
      <c r="H93" s="846" t="s">
        <v>293</v>
      </c>
      <c r="I93" s="845"/>
      <c r="J93" s="845"/>
      <c r="K93" s="452" t="s">
        <v>316</v>
      </c>
      <c r="L93" s="846" t="s">
        <v>411</v>
      </c>
      <c r="M93" s="845"/>
      <c r="N93" s="452" t="s">
        <v>333</v>
      </c>
      <c r="O93" s="452" t="s">
        <v>293</v>
      </c>
      <c r="P93" s="452" t="s">
        <v>293</v>
      </c>
      <c r="Q93" s="847">
        <v>1.1499999999999999</v>
      </c>
      <c r="R93" s="845"/>
      <c r="S93" s="847">
        <v>7.65</v>
      </c>
      <c r="T93" s="845"/>
      <c r="U93" s="848">
        <v>506.46</v>
      </c>
      <c r="V93" s="845"/>
      <c r="W93" s="845"/>
      <c r="X93" s="845"/>
      <c r="Y93" s="845"/>
      <c r="Z93" s="453"/>
      <c r="AA93" s="453"/>
      <c r="AB93" s="453" t="s">
        <v>848</v>
      </c>
    </row>
    <row r="94" spans="1:28" s="464" customFormat="1" ht="18" x14ac:dyDescent="0.25">
      <c r="A94" s="451" t="s">
        <v>735</v>
      </c>
      <c r="B94" s="452" t="s">
        <v>325</v>
      </c>
      <c r="C94" s="451" t="s">
        <v>849</v>
      </c>
      <c r="D94" s="844" t="s">
        <v>850</v>
      </c>
      <c r="E94" s="845"/>
      <c r="F94" s="845"/>
      <c r="G94" s="452" t="s">
        <v>293</v>
      </c>
      <c r="H94" s="846" t="s">
        <v>293</v>
      </c>
      <c r="I94" s="845"/>
      <c r="J94" s="845"/>
      <c r="K94" s="452" t="s">
        <v>316</v>
      </c>
      <c r="L94" s="846" t="s">
        <v>317</v>
      </c>
      <c r="M94" s="845"/>
      <c r="N94" s="452" t="s">
        <v>333</v>
      </c>
      <c r="O94" s="452" t="s">
        <v>293</v>
      </c>
      <c r="P94" s="452" t="s">
        <v>293</v>
      </c>
      <c r="Q94" s="847">
        <v>1.1100000000000001</v>
      </c>
      <c r="R94" s="845"/>
      <c r="S94" s="847">
        <v>7.39</v>
      </c>
      <c r="T94" s="845"/>
      <c r="U94" s="848">
        <v>513.85</v>
      </c>
      <c r="V94" s="845"/>
      <c r="W94" s="845"/>
      <c r="X94" s="845"/>
      <c r="Y94" s="845"/>
      <c r="Z94" s="453"/>
      <c r="AA94" s="453"/>
      <c r="AB94" s="453" t="s">
        <v>848</v>
      </c>
    </row>
    <row r="95" spans="1:28" s="464" customFormat="1" ht="18" x14ac:dyDescent="0.25">
      <c r="A95" s="451" t="s">
        <v>761</v>
      </c>
      <c r="B95" s="452" t="s">
        <v>325</v>
      </c>
      <c r="C95" s="451" t="s">
        <v>851</v>
      </c>
      <c r="D95" s="844" t="s">
        <v>852</v>
      </c>
      <c r="E95" s="845"/>
      <c r="F95" s="845"/>
      <c r="G95" s="452" t="s">
        <v>293</v>
      </c>
      <c r="H95" s="846" t="s">
        <v>293</v>
      </c>
      <c r="I95" s="845"/>
      <c r="J95" s="845"/>
      <c r="K95" s="452" t="s">
        <v>316</v>
      </c>
      <c r="L95" s="846" t="s">
        <v>317</v>
      </c>
      <c r="M95" s="845"/>
      <c r="N95" s="452" t="s">
        <v>333</v>
      </c>
      <c r="O95" s="452" t="s">
        <v>293</v>
      </c>
      <c r="P95" s="452" t="s">
        <v>293</v>
      </c>
      <c r="Q95" s="847">
        <v>1.1200000000000001</v>
      </c>
      <c r="R95" s="845"/>
      <c r="S95" s="847">
        <v>7.48</v>
      </c>
      <c r="T95" s="845"/>
      <c r="U95" s="848">
        <v>521.33000000000004</v>
      </c>
      <c r="V95" s="845"/>
      <c r="W95" s="845"/>
      <c r="X95" s="845"/>
      <c r="Y95" s="845"/>
      <c r="Z95" s="453"/>
      <c r="AA95" s="453"/>
      <c r="AB95" s="453" t="s">
        <v>848</v>
      </c>
    </row>
    <row r="96" spans="1:28" s="479" customFormat="1" ht="18" x14ac:dyDescent="0.25">
      <c r="A96" s="557" t="s">
        <v>853</v>
      </c>
      <c r="B96" s="558" t="s">
        <v>325</v>
      </c>
      <c r="C96" s="557" t="s">
        <v>854</v>
      </c>
      <c r="D96" s="859" t="s">
        <v>855</v>
      </c>
      <c r="E96" s="860"/>
      <c r="F96" s="860"/>
      <c r="G96" s="558" t="s">
        <v>293</v>
      </c>
      <c r="H96" s="861" t="s">
        <v>293</v>
      </c>
      <c r="I96" s="860"/>
      <c r="J96" s="860"/>
      <c r="K96" s="558" t="s">
        <v>316</v>
      </c>
      <c r="L96" s="861" t="s">
        <v>317</v>
      </c>
      <c r="M96" s="860"/>
      <c r="N96" s="558" t="s">
        <v>318</v>
      </c>
      <c r="O96" s="558" t="s">
        <v>293</v>
      </c>
      <c r="P96" s="558" t="s">
        <v>293</v>
      </c>
      <c r="Q96" s="862">
        <v>1.23</v>
      </c>
      <c r="R96" s="860"/>
      <c r="S96" s="862">
        <v>8.17</v>
      </c>
      <c r="T96" s="860"/>
      <c r="U96" s="863">
        <v>529.5</v>
      </c>
      <c r="V96" s="860"/>
      <c r="W96" s="860"/>
      <c r="X96" s="845"/>
      <c r="Y96" s="860"/>
      <c r="Z96" s="453"/>
      <c r="AA96" s="559"/>
      <c r="AB96" s="559" t="s">
        <v>856</v>
      </c>
    </row>
    <row r="97" spans="1:25" x14ac:dyDescent="0.25">
      <c r="A97" s="831" t="s">
        <v>293</v>
      </c>
      <c r="B97" s="828"/>
      <c r="C97" s="828"/>
      <c r="D97" s="828"/>
      <c r="E97" s="831" t="s">
        <v>345</v>
      </c>
      <c r="F97" s="828"/>
      <c r="G97" s="828"/>
      <c r="H97" s="831" t="s">
        <v>293</v>
      </c>
      <c r="I97" s="828"/>
      <c r="J97" s="828"/>
      <c r="K97" s="828"/>
      <c r="L97" s="828"/>
      <c r="M97" s="828"/>
      <c r="N97" s="449" t="s">
        <v>293</v>
      </c>
      <c r="O97" s="449" t="s">
        <v>293</v>
      </c>
      <c r="P97" s="449" t="s">
        <v>293</v>
      </c>
      <c r="Q97" s="843">
        <v>4.6100000000000003</v>
      </c>
      <c r="R97" s="828"/>
      <c r="S97" s="843">
        <v>30.69</v>
      </c>
      <c r="T97" s="828"/>
      <c r="U97" s="843">
        <v>529.5</v>
      </c>
      <c r="V97" s="828"/>
      <c r="W97" s="828"/>
      <c r="X97" s="828"/>
      <c r="Y97" s="828"/>
    </row>
    <row r="98" spans="1:25" ht="24" customHeight="1" x14ac:dyDescent="0.25">
      <c r="A98" s="833" t="s">
        <v>293</v>
      </c>
      <c r="B98" s="828"/>
      <c r="C98" s="828"/>
      <c r="D98" s="828"/>
      <c r="E98" s="828"/>
      <c r="F98" s="828"/>
      <c r="G98" s="828"/>
      <c r="H98" s="828"/>
      <c r="I98" s="828"/>
      <c r="J98" s="828"/>
      <c r="K98" s="828"/>
      <c r="L98" s="828"/>
      <c r="M98" s="828"/>
      <c r="N98" s="828"/>
      <c r="O98" s="828"/>
      <c r="P98" s="828"/>
      <c r="Q98" s="828"/>
      <c r="R98" s="828"/>
      <c r="S98" s="828"/>
      <c r="T98" s="828"/>
      <c r="U98" s="828"/>
      <c r="V98" s="828"/>
      <c r="W98" s="828"/>
      <c r="X98" s="828"/>
      <c r="Y98" s="828"/>
    </row>
    <row r="99" spans="1:25" ht="12" customHeight="1" x14ac:dyDescent="0.25">
      <c r="A99" s="831" t="s">
        <v>307</v>
      </c>
      <c r="B99" s="828"/>
      <c r="C99" s="449" t="s">
        <v>293</v>
      </c>
      <c r="D99" s="449" t="s">
        <v>382</v>
      </c>
      <c r="E99" s="831" t="s">
        <v>383</v>
      </c>
      <c r="F99" s="828"/>
      <c r="G99" s="828"/>
      <c r="H99" s="831" t="s">
        <v>293</v>
      </c>
      <c r="I99" s="828"/>
      <c r="J99" s="828"/>
      <c r="K99" s="828"/>
      <c r="L99" s="828"/>
      <c r="M99" s="828"/>
      <c r="N99" s="828"/>
      <c r="O99" s="828"/>
      <c r="P99" s="828"/>
      <c r="Q99" s="828"/>
      <c r="R99" s="828"/>
      <c r="S99" s="828"/>
      <c r="T99" s="828"/>
      <c r="U99" s="843">
        <v>302.58</v>
      </c>
      <c r="V99" s="828"/>
      <c r="W99" s="828"/>
      <c r="X99" s="828"/>
      <c r="Y99" s="828"/>
    </row>
    <row r="100" spans="1:25" ht="18" x14ac:dyDescent="0.25">
      <c r="A100" s="450" t="s">
        <v>857</v>
      </c>
      <c r="B100" s="446" t="s">
        <v>751</v>
      </c>
      <c r="C100" s="450" t="s">
        <v>858</v>
      </c>
      <c r="D100" s="840" t="s">
        <v>859</v>
      </c>
      <c r="E100" s="828"/>
      <c r="F100" s="828"/>
      <c r="G100" s="446" t="s">
        <v>505</v>
      </c>
      <c r="H100" s="830" t="s">
        <v>860</v>
      </c>
      <c r="I100" s="828"/>
      <c r="J100" s="828"/>
      <c r="K100" s="446" t="s">
        <v>316</v>
      </c>
      <c r="L100" s="830" t="s">
        <v>317</v>
      </c>
      <c r="M100" s="828"/>
      <c r="N100" s="446" t="s">
        <v>318</v>
      </c>
      <c r="O100" s="446" t="s">
        <v>293</v>
      </c>
      <c r="P100" s="446" t="s">
        <v>293</v>
      </c>
      <c r="Q100" s="841">
        <v>0</v>
      </c>
      <c r="R100" s="828"/>
      <c r="S100" s="841">
        <v>65.22</v>
      </c>
      <c r="T100" s="828"/>
      <c r="U100" s="842">
        <v>367.8</v>
      </c>
      <c r="V100" s="828"/>
      <c r="W100" s="828"/>
      <c r="X100" s="828"/>
      <c r="Y100" s="828"/>
    </row>
    <row r="101" spans="1:25" ht="18" x14ac:dyDescent="0.25">
      <c r="A101" s="450" t="s">
        <v>719</v>
      </c>
      <c r="B101" s="446" t="s">
        <v>311</v>
      </c>
      <c r="C101" s="450" t="s">
        <v>861</v>
      </c>
      <c r="D101" s="840" t="s">
        <v>862</v>
      </c>
      <c r="E101" s="828"/>
      <c r="F101" s="828"/>
      <c r="G101" s="446" t="s">
        <v>505</v>
      </c>
      <c r="H101" s="830" t="s">
        <v>863</v>
      </c>
      <c r="I101" s="828"/>
      <c r="J101" s="828"/>
      <c r="K101" s="446" t="s">
        <v>316</v>
      </c>
      <c r="L101" s="830" t="s">
        <v>317</v>
      </c>
      <c r="M101" s="828"/>
      <c r="N101" s="446" t="s">
        <v>318</v>
      </c>
      <c r="O101" s="446" t="s">
        <v>293</v>
      </c>
      <c r="P101" s="446" t="s">
        <v>293</v>
      </c>
      <c r="Q101" s="841">
        <v>1.63</v>
      </c>
      <c r="R101" s="828"/>
      <c r="S101" s="841">
        <v>10.85</v>
      </c>
      <c r="T101" s="828"/>
      <c r="U101" s="842">
        <v>378.65</v>
      </c>
      <c r="V101" s="828"/>
      <c r="W101" s="828"/>
      <c r="X101" s="828"/>
      <c r="Y101" s="828"/>
    </row>
    <row r="102" spans="1:25" ht="18" x14ac:dyDescent="0.25">
      <c r="A102" s="450" t="s">
        <v>719</v>
      </c>
      <c r="B102" s="446" t="s">
        <v>311</v>
      </c>
      <c r="C102" s="450" t="s">
        <v>861</v>
      </c>
      <c r="D102" s="840" t="s">
        <v>864</v>
      </c>
      <c r="E102" s="828"/>
      <c r="F102" s="828"/>
      <c r="G102" s="446" t="s">
        <v>505</v>
      </c>
      <c r="H102" s="830" t="s">
        <v>863</v>
      </c>
      <c r="I102" s="828"/>
      <c r="J102" s="828"/>
      <c r="K102" s="446" t="s">
        <v>316</v>
      </c>
      <c r="L102" s="830" t="s">
        <v>317</v>
      </c>
      <c r="M102" s="828"/>
      <c r="N102" s="446" t="s">
        <v>318</v>
      </c>
      <c r="O102" s="446" t="s">
        <v>293</v>
      </c>
      <c r="P102" s="446" t="s">
        <v>293</v>
      </c>
      <c r="Q102" s="841">
        <v>4.43</v>
      </c>
      <c r="R102" s="828"/>
      <c r="S102" s="841">
        <v>29.5</v>
      </c>
      <c r="T102" s="828"/>
      <c r="U102" s="842">
        <v>408.15</v>
      </c>
      <c r="V102" s="828"/>
      <c r="W102" s="828"/>
      <c r="X102" s="828"/>
      <c r="Y102" s="828"/>
    </row>
    <row r="103" spans="1:25" ht="18" x14ac:dyDescent="0.25">
      <c r="A103" s="450" t="s">
        <v>719</v>
      </c>
      <c r="B103" s="446" t="s">
        <v>311</v>
      </c>
      <c r="C103" s="450" t="s">
        <v>861</v>
      </c>
      <c r="D103" s="840" t="s">
        <v>865</v>
      </c>
      <c r="E103" s="828"/>
      <c r="F103" s="828"/>
      <c r="G103" s="446" t="s">
        <v>505</v>
      </c>
      <c r="H103" s="830" t="s">
        <v>863</v>
      </c>
      <c r="I103" s="828"/>
      <c r="J103" s="828"/>
      <c r="K103" s="446" t="s">
        <v>316</v>
      </c>
      <c r="L103" s="830" t="s">
        <v>317</v>
      </c>
      <c r="M103" s="828"/>
      <c r="N103" s="446" t="s">
        <v>318</v>
      </c>
      <c r="O103" s="446" t="s">
        <v>293</v>
      </c>
      <c r="P103" s="446" t="s">
        <v>293</v>
      </c>
      <c r="Q103" s="841">
        <v>1.28</v>
      </c>
      <c r="R103" s="828"/>
      <c r="S103" s="841">
        <v>8.5</v>
      </c>
      <c r="T103" s="828"/>
      <c r="U103" s="842">
        <v>416.65</v>
      </c>
      <c r="V103" s="828"/>
      <c r="W103" s="828"/>
      <c r="X103" s="828"/>
      <c r="Y103" s="828"/>
    </row>
    <row r="104" spans="1:25" x14ac:dyDescent="0.25">
      <c r="A104" s="450" t="s">
        <v>719</v>
      </c>
      <c r="B104" s="446" t="s">
        <v>325</v>
      </c>
      <c r="C104" s="450" t="s">
        <v>811</v>
      </c>
      <c r="D104" s="840" t="s">
        <v>866</v>
      </c>
      <c r="E104" s="828"/>
      <c r="F104" s="828"/>
      <c r="G104" s="446" t="s">
        <v>293</v>
      </c>
      <c r="H104" s="830" t="s">
        <v>293</v>
      </c>
      <c r="I104" s="828"/>
      <c r="J104" s="828"/>
      <c r="K104" s="446" t="s">
        <v>316</v>
      </c>
      <c r="L104" s="830" t="s">
        <v>317</v>
      </c>
      <c r="M104" s="828"/>
      <c r="N104" s="446" t="s">
        <v>318</v>
      </c>
      <c r="O104" s="446" t="s">
        <v>293</v>
      </c>
      <c r="P104" s="446" t="s">
        <v>293</v>
      </c>
      <c r="Q104" s="841">
        <v>0</v>
      </c>
      <c r="R104" s="828"/>
      <c r="S104" s="841">
        <v>-21.85</v>
      </c>
      <c r="T104" s="828"/>
      <c r="U104" s="842">
        <v>394.8</v>
      </c>
      <c r="V104" s="828"/>
      <c r="W104" s="828"/>
      <c r="X104" s="828"/>
      <c r="Y104" s="828"/>
    </row>
    <row r="105" spans="1:25" x14ac:dyDescent="0.25">
      <c r="A105" s="450" t="s">
        <v>719</v>
      </c>
      <c r="B105" s="446" t="s">
        <v>325</v>
      </c>
      <c r="C105" s="450" t="s">
        <v>811</v>
      </c>
      <c r="D105" s="840" t="s">
        <v>866</v>
      </c>
      <c r="E105" s="828"/>
      <c r="F105" s="828"/>
      <c r="G105" s="446" t="s">
        <v>293</v>
      </c>
      <c r="H105" s="830" t="s">
        <v>293</v>
      </c>
      <c r="I105" s="828"/>
      <c r="J105" s="828"/>
      <c r="K105" s="446" t="s">
        <v>316</v>
      </c>
      <c r="L105" s="830" t="s">
        <v>317</v>
      </c>
      <c r="M105" s="828"/>
      <c r="N105" s="446" t="s">
        <v>318</v>
      </c>
      <c r="O105" s="446" t="s">
        <v>293</v>
      </c>
      <c r="P105" s="446" t="s">
        <v>293</v>
      </c>
      <c r="Q105" s="841">
        <v>0</v>
      </c>
      <c r="R105" s="828"/>
      <c r="S105" s="841">
        <v>-11.85</v>
      </c>
      <c r="T105" s="828"/>
      <c r="U105" s="842">
        <v>382.95</v>
      </c>
      <c r="V105" s="828"/>
      <c r="W105" s="828"/>
      <c r="X105" s="828"/>
      <c r="Y105" s="828"/>
    </row>
    <row r="106" spans="1:25" x14ac:dyDescent="0.25">
      <c r="A106" s="450" t="s">
        <v>754</v>
      </c>
      <c r="B106" s="446" t="s">
        <v>325</v>
      </c>
      <c r="C106" s="450" t="s">
        <v>867</v>
      </c>
      <c r="D106" s="840" t="s">
        <v>868</v>
      </c>
      <c r="E106" s="828"/>
      <c r="F106" s="828"/>
      <c r="G106" s="446" t="s">
        <v>293</v>
      </c>
      <c r="H106" s="830" t="s">
        <v>293</v>
      </c>
      <c r="I106" s="828"/>
      <c r="J106" s="828"/>
      <c r="K106" s="446" t="s">
        <v>316</v>
      </c>
      <c r="L106" s="830" t="s">
        <v>317</v>
      </c>
      <c r="M106" s="828"/>
      <c r="N106" s="446" t="s">
        <v>318</v>
      </c>
      <c r="O106" s="446" t="s">
        <v>293</v>
      </c>
      <c r="P106" s="446" t="s">
        <v>293</v>
      </c>
      <c r="Q106" s="841">
        <v>0</v>
      </c>
      <c r="R106" s="828"/>
      <c r="S106" s="841">
        <v>52.7</v>
      </c>
      <c r="T106" s="828"/>
      <c r="U106" s="842">
        <v>435.65</v>
      </c>
      <c r="V106" s="828"/>
      <c r="W106" s="828"/>
      <c r="X106" s="828"/>
      <c r="Y106" s="828"/>
    </row>
    <row r="107" spans="1:25" x14ac:dyDescent="0.25">
      <c r="A107" s="450" t="s">
        <v>754</v>
      </c>
      <c r="B107" s="446" t="s">
        <v>325</v>
      </c>
      <c r="C107" s="450" t="s">
        <v>867</v>
      </c>
      <c r="D107" s="840" t="s">
        <v>869</v>
      </c>
      <c r="E107" s="828"/>
      <c r="F107" s="828"/>
      <c r="G107" s="446" t="s">
        <v>293</v>
      </c>
      <c r="H107" s="830" t="s">
        <v>293</v>
      </c>
      <c r="I107" s="828"/>
      <c r="J107" s="828"/>
      <c r="K107" s="446" t="s">
        <v>316</v>
      </c>
      <c r="L107" s="830" t="s">
        <v>317</v>
      </c>
      <c r="M107" s="828"/>
      <c r="N107" s="446" t="s">
        <v>318</v>
      </c>
      <c r="O107" s="446" t="s">
        <v>293</v>
      </c>
      <c r="P107" s="446" t="s">
        <v>293</v>
      </c>
      <c r="Q107" s="841">
        <v>0</v>
      </c>
      <c r="R107" s="828"/>
      <c r="S107" s="841">
        <v>55.85</v>
      </c>
      <c r="T107" s="828"/>
      <c r="U107" s="842">
        <v>491.5</v>
      </c>
      <c r="V107" s="828"/>
      <c r="W107" s="828"/>
      <c r="X107" s="828"/>
      <c r="Y107" s="828"/>
    </row>
    <row r="108" spans="1:25" x14ac:dyDescent="0.25">
      <c r="A108" s="450" t="s">
        <v>754</v>
      </c>
      <c r="B108" s="446" t="s">
        <v>325</v>
      </c>
      <c r="C108" s="450" t="s">
        <v>867</v>
      </c>
      <c r="D108" s="840" t="s">
        <v>870</v>
      </c>
      <c r="E108" s="828"/>
      <c r="F108" s="828"/>
      <c r="G108" s="446" t="s">
        <v>293</v>
      </c>
      <c r="H108" s="830" t="s">
        <v>293</v>
      </c>
      <c r="I108" s="828"/>
      <c r="J108" s="828"/>
      <c r="K108" s="446" t="s">
        <v>316</v>
      </c>
      <c r="L108" s="830" t="s">
        <v>317</v>
      </c>
      <c r="M108" s="828"/>
      <c r="N108" s="446" t="s">
        <v>318</v>
      </c>
      <c r="O108" s="446" t="s">
        <v>293</v>
      </c>
      <c r="P108" s="446" t="s">
        <v>293</v>
      </c>
      <c r="Q108" s="841">
        <v>0</v>
      </c>
      <c r="R108" s="828"/>
      <c r="S108" s="841">
        <v>11.7</v>
      </c>
      <c r="T108" s="828"/>
      <c r="U108" s="842">
        <v>503.2</v>
      </c>
      <c r="V108" s="828"/>
      <c r="W108" s="828"/>
      <c r="X108" s="828"/>
      <c r="Y108" s="828"/>
    </row>
    <row r="109" spans="1:25" ht="18" x14ac:dyDescent="0.25">
      <c r="A109" s="450" t="s">
        <v>761</v>
      </c>
      <c r="B109" s="446" t="s">
        <v>311</v>
      </c>
      <c r="C109" s="450" t="s">
        <v>871</v>
      </c>
      <c r="D109" s="840" t="s">
        <v>872</v>
      </c>
      <c r="E109" s="828"/>
      <c r="F109" s="828"/>
      <c r="G109" s="446" t="s">
        <v>505</v>
      </c>
      <c r="H109" s="830" t="s">
        <v>873</v>
      </c>
      <c r="I109" s="828"/>
      <c r="J109" s="828"/>
      <c r="K109" s="446" t="s">
        <v>316</v>
      </c>
      <c r="L109" s="830" t="s">
        <v>317</v>
      </c>
      <c r="M109" s="828"/>
      <c r="N109" s="446" t="s">
        <v>318</v>
      </c>
      <c r="O109" s="446" t="s">
        <v>293</v>
      </c>
      <c r="P109" s="446" t="s">
        <v>293</v>
      </c>
      <c r="Q109" s="841">
        <v>7.9</v>
      </c>
      <c r="R109" s="828"/>
      <c r="S109" s="841">
        <v>52.7</v>
      </c>
      <c r="T109" s="828"/>
      <c r="U109" s="842">
        <v>555.9</v>
      </c>
      <c r="V109" s="828"/>
      <c r="W109" s="828"/>
      <c r="X109" s="828"/>
      <c r="Y109" s="828"/>
    </row>
    <row r="110" spans="1:25" x14ac:dyDescent="0.25">
      <c r="A110" s="450" t="s">
        <v>761</v>
      </c>
      <c r="B110" s="446" t="s">
        <v>325</v>
      </c>
      <c r="C110" s="450" t="s">
        <v>874</v>
      </c>
      <c r="D110" s="840" t="s">
        <v>868</v>
      </c>
      <c r="E110" s="828"/>
      <c r="F110" s="828"/>
      <c r="G110" s="446" t="s">
        <v>293</v>
      </c>
      <c r="H110" s="830" t="s">
        <v>293</v>
      </c>
      <c r="I110" s="828"/>
      <c r="J110" s="828"/>
      <c r="K110" s="446" t="s">
        <v>316</v>
      </c>
      <c r="L110" s="830" t="s">
        <v>317</v>
      </c>
      <c r="M110" s="828"/>
      <c r="N110" s="446" t="s">
        <v>318</v>
      </c>
      <c r="O110" s="446" t="s">
        <v>293</v>
      </c>
      <c r="P110" s="446" t="s">
        <v>293</v>
      </c>
      <c r="Q110" s="841">
        <v>0</v>
      </c>
      <c r="R110" s="828"/>
      <c r="S110" s="841">
        <v>-52.7</v>
      </c>
      <c r="T110" s="828"/>
      <c r="U110" s="842">
        <v>503.2</v>
      </c>
      <c r="V110" s="828"/>
      <c r="W110" s="828"/>
      <c r="X110" s="828"/>
      <c r="Y110" s="828"/>
    </row>
    <row r="111" spans="1:25" x14ac:dyDescent="0.25">
      <c r="A111" s="450" t="s">
        <v>761</v>
      </c>
      <c r="B111" s="446" t="s">
        <v>325</v>
      </c>
      <c r="C111" s="450" t="s">
        <v>874</v>
      </c>
      <c r="D111" s="840" t="s">
        <v>869</v>
      </c>
      <c r="E111" s="828"/>
      <c r="F111" s="828"/>
      <c r="G111" s="446" t="s">
        <v>293</v>
      </c>
      <c r="H111" s="830" t="s">
        <v>293</v>
      </c>
      <c r="I111" s="828"/>
      <c r="J111" s="828"/>
      <c r="K111" s="446" t="s">
        <v>316</v>
      </c>
      <c r="L111" s="830" t="s">
        <v>317</v>
      </c>
      <c r="M111" s="828"/>
      <c r="N111" s="446" t="s">
        <v>318</v>
      </c>
      <c r="O111" s="446" t="s">
        <v>293</v>
      </c>
      <c r="P111" s="446" t="s">
        <v>293</v>
      </c>
      <c r="Q111" s="841">
        <v>0</v>
      </c>
      <c r="R111" s="828"/>
      <c r="S111" s="841">
        <v>-55.85</v>
      </c>
      <c r="T111" s="828"/>
      <c r="U111" s="842">
        <v>447.35</v>
      </c>
      <c r="V111" s="828"/>
      <c r="W111" s="828"/>
      <c r="X111" s="828"/>
      <c r="Y111" s="828"/>
    </row>
    <row r="112" spans="1:25" x14ac:dyDescent="0.25">
      <c r="A112" s="450" t="s">
        <v>761</v>
      </c>
      <c r="B112" s="446" t="s">
        <v>325</v>
      </c>
      <c r="C112" s="450" t="s">
        <v>874</v>
      </c>
      <c r="D112" s="840" t="s">
        <v>870</v>
      </c>
      <c r="E112" s="828"/>
      <c r="F112" s="828"/>
      <c r="G112" s="446" t="s">
        <v>293</v>
      </c>
      <c r="H112" s="830" t="s">
        <v>293</v>
      </c>
      <c r="I112" s="828"/>
      <c r="J112" s="828"/>
      <c r="K112" s="446" t="s">
        <v>316</v>
      </c>
      <c r="L112" s="830" t="s">
        <v>317</v>
      </c>
      <c r="M112" s="828"/>
      <c r="N112" s="446" t="s">
        <v>318</v>
      </c>
      <c r="O112" s="446" t="s">
        <v>293</v>
      </c>
      <c r="P112" s="446" t="s">
        <v>293</v>
      </c>
      <c r="Q112" s="841">
        <v>0</v>
      </c>
      <c r="R112" s="828"/>
      <c r="S112" s="841">
        <v>-11.7</v>
      </c>
      <c r="T112" s="828"/>
      <c r="U112" s="842">
        <v>435.65</v>
      </c>
      <c r="V112" s="828"/>
      <c r="W112" s="828"/>
      <c r="X112" s="828"/>
      <c r="Y112" s="828"/>
    </row>
    <row r="113" spans="1:25" x14ac:dyDescent="0.25">
      <c r="A113" s="831" t="s">
        <v>293</v>
      </c>
      <c r="B113" s="828"/>
      <c r="C113" s="828"/>
      <c r="D113" s="828"/>
      <c r="E113" s="831" t="s">
        <v>383</v>
      </c>
      <c r="F113" s="828"/>
      <c r="G113" s="828"/>
      <c r="H113" s="831" t="s">
        <v>293</v>
      </c>
      <c r="I113" s="828"/>
      <c r="J113" s="828"/>
      <c r="K113" s="828"/>
      <c r="L113" s="828"/>
      <c r="M113" s="828"/>
      <c r="N113" s="449" t="s">
        <v>293</v>
      </c>
      <c r="O113" s="449" t="s">
        <v>293</v>
      </c>
      <c r="P113" s="449" t="s">
        <v>293</v>
      </c>
      <c r="Q113" s="843">
        <v>15.24</v>
      </c>
      <c r="R113" s="828"/>
      <c r="S113" s="843">
        <v>133.07</v>
      </c>
      <c r="T113" s="828"/>
      <c r="U113" s="843">
        <v>435.65</v>
      </c>
      <c r="V113" s="828"/>
      <c r="W113" s="828"/>
      <c r="X113" s="828"/>
      <c r="Y113" s="828"/>
    </row>
    <row r="114" spans="1:25" ht="24" customHeight="1" x14ac:dyDescent="0.25">
      <c r="A114" s="833" t="s">
        <v>293</v>
      </c>
      <c r="B114" s="828"/>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row>
    <row r="115" spans="1:25" ht="12" customHeight="1" x14ac:dyDescent="0.25">
      <c r="A115" s="831" t="s">
        <v>307</v>
      </c>
      <c r="B115" s="828"/>
      <c r="C115" s="449" t="s">
        <v>293</v>
      </c>
      <c r="D115" s="449" t="s">
        <v>501</v>
      </c>
      <c r="E115" s="831" t="s">
        <v>502</v>
      </c>
      <c r="F115" s="828"/>
      <c r="G115" s="828"/>
      <c r="H115" s="831" t="s">
        <v>293</v>
      </c>
      <c r="I115" s="828"/>
      <c r="J115" s="828"/>
      <c r="K115" s="828"/>
      <c r="L115" s="828"/>
      <c r="M115" s="828"/>
      <c r="N115" s="828"/>
      <c r="O115" s="828"/>
      <c r="P115" s="828"/>
      <c r="Q115" s="828"/>
      <c r="R115" s="828"/>
      <c r="S115" s="828"/>
      <c r="T115" s="828"/>
      <c r="U115" s="843">
        <v>24957.75</v>
      </c>
      <c r="V115" s="828"/>
      <c r="W115" s="828"/>
      <c r="X115" s="828"/>
      <c r="Y115" s="828"/>
    </row>
    <row r="116" spans="1:25" ht="18" x14ac:dyDescent="0.25">
      <c r="A116" s="450" t="s">
        <v>703</v>
      </c>
      <c r="B116" s="446" t="s">
        <v>751</v>
      </c>
      <c r="C116" s="450" t="s">
        <v>875</v>
      </c>
      <c r="D116" s="840" t="s">
        <v>876</v>
      </c>
      <c r="E116" s="828"/>
      <c r="F116" s="828"/>
      <c r="G116" s="446" t="s">
        <v>505</v>
      </c>
      <c r="H116" s="830" t="s">
        <v>877</v>
      </c>
      <c r="I116" s="828"/>
      <c r="J116" s="828"/>
      <c r="K116" s="446" t="s">
        <v>316</v>
      </c>
      <c r="L116" s="830" t="s">
        <v>317</v>
      </c>
      <c r="M116" s="828"/>
      <c r="N116" s="446" t="s">
        <v>318</v>
      </c>
      <c r="O116" s="446" t="s">
        <v>293</v>
      </c>
      <c r="P116" s="446" t="s">
        <v>293</v>
      </c>
      <c r="Q116" s="841">
        <v>0</v>
      </c>
      <c r="R116" s="828"/>
      <c r="S116" s="841">
        <v>250.16</v>
      </c>
      <c r="T116" s="828"/>
      <c r="U116" s="842">
        <v>25207.91</v>
      </c>
      <c r="V116" s="828"/>
      <c r="W116" s="828"/>
      <c r="X116" s="828"/>
      <c r="Y116" s="828"/>
    </row>
    <row r="117" spans="1:25" ht="18" x14ac:dyDescent="0.25">
      <c r="A117" s="450" t="s">
        <v>703</v>
      </c>
      <c r="B117" s="446" t="s">
        <v>311</v>
      </c>
      <c r="C117" s="450" t="s">
        <v>878</v>
      </c>
      <c r="D117" s="840" t="s">
        <v>879</v>
      </c>
      <c r="E117" s="828"/>
      <c r="F117" s="828"/>
      <c r="G117" s="446" t="s">
        <v>505</v>
      </c>
      <c r="H117" s="830" t="s">
        <v>880</v>
      </c>
      <c r="I117" s="828"/>
      <c r="J117" s="828"/>
      <c r="K117" s="446" t="s">
        <v>316</v>
      </c>
      <c r="L117" s="830" t="s">
        <v>317</v>
      </c>
      <c r="M117" s="828"/>
      <c r="N117" s="446" t="s">
        <v>318</v>
      </c>
      <c r="O117" s="446" t="s">
        <v>293</v>
      </c>
      <c r="P117" s="446" t="s">
        <v>293</v>
      </c>
      <c r="Q117" s="841">
        <v>50.44</v>
      </c>
      <c r="R117" s="828"/>
      <c r="S117" s="841">
        <v>336.25</v>
      </c>
      <c r="T117" s="828"/>
      <c r="U117" s="842">
        <v>25544.16</v>
      </c>
      <c r="V117" s="828"/>
      <c r="W117" s="828"/>
      <c r="X117" s="828"/>
      <c r="Y117" s="828"/>
    </row>
    <row r="118" spans="1:25" ht="18" x14ac:dyDescent="0.25">
      <c r="A118" s="450" t="s">
        <v>703</v>
      </c>
      <c r="B118" s="446" t="s">
        <v>311</v>
      </c>
      <c r="C118" s="450" t="s">
        <v>878</v>
      </c>
      <c r="D118" s="840" t="s">
        <v>881</v>
      </c>
      <c r="E118" s="828"/>
      <c r="F118" s="828"/>
      <c r="G118" s="446" t="s">
        <v>505</v>
      </c>
      <c r="H118" s="830" t="s">
        <v>880</v>
      </c>
      <c r="I118" s="828"/>
      <c r="J118" s="828"/>
      <c r="K118" s="446" t="s">
        <v>316</v>
      </c>
      <c r="L118" s="830" t="s">
        <v>317</v>
      </c>
      <c r="M118" s="828"/>
      <c r="N118" s="446" t="s">
        <v>318</v>
      </c>
      <c r="O118" s="446" t="s">
        <v>293</v>
      </c>
      <c r="P118" s="446" t="s">
        <v>293</v>
      </c>
      <c r="Q118" s="841">
        <v>73.069999999999993</v>
      </c>
      <c r="R118" s="828"/>
      <c r="S118" s="841">
        <v>487.09</v>
      </c>
      <c r="T118" s="828"/>
      <c r="U118" s="842">
        <v>26031.25</v>
      </c>
      <c r="V118" s="828"/>
      <c r="W118" s="828"/>
      <c r="X118" s="828"/>
      <c r="Y118" s="828"/>
    </row>
    <row r="119" spans="1:25" x14ac:dyDescent="0.25">
      <c r="A119" s="450" t="s">
        <v>714</v>
      </c>
      <c r="B119" s="446" t="s">
        <v>325</v>
      </c>
      <c r="C119" s="450" t="s">
        <v>882</v>
      </c>
      <c r="D119" s="840" t="s">
        <v>883</v>
      </c>
      <c r="E119" s="828"/>
      <c r="F119" s="828"/>
      <c r="G119" s="446" t="s">
        <v>293</v>
      </c>
      <c r="H119" s="830" t="s">
        <v>293</v>
      </c>
      <c r="I119" s="828"/>
      <c r="J119" s="828"/>
      <c r="K119" s="446" t="s">
        <v>316</v>
      </c>
      <c r="L119" s="830" t="s">
        <v>317</v>
      </c>
      <c r="M119" s="828"/>
      <c r="N119" s="446" t="s">
        <v>318</v>
      </c>
      <c r="O119" s="446" t="s">
        <v>293</v>
      </c>
      <c r="P119" s="446" t="s">
        <v>293</v>
      </c>
      <c r="Q119" s="841">
        <v>0</v>
      </c>
      <c r="R119" s="828"/>
      <c r="S119" s="841">
        <v>334</v>
      </c>
      <c r="T119" s="828"/>
      <c r="U119" s="842">
        <v>26365.25</v>
      </c>
      <c r="V119" s="828"/>
      <c r="W119" s="828"/>
      <c r="X119" s="828"/>
      <c r="Y119" s="828"/>
    </row>
    <row r="120" spans="1:25" x14ac:dyDescent="0.25">
      <c r="A120" s="450" t="s">
        <v>714</v>
      </c>
      <c r="B120" s="446" t="s">
        <v>325</v>
      </c>
      <c r="C120" s="450" t="s">
        <v>882</v>
      </c>
      <c r="D120" s="840" t="s">
        <v>884</v>
      </c>
      <c r="E120" s="828"/>
      <c r="F120" s="828"/>
      <c r="G120" s="446" t="s">
        <v>293</v>
      </c>
      <c r="H120" s="830" t="s">
        <v>293</v>
      </c>
      <c r="I120" s="828"/>
      <c r="J120" s="828"/>
      <c r="K120" s="446" t="s">
        <v>316</v>
      </c>
      <c r="L120" s="830" t="s">
        <v>317</v>
      </c>
      <c r="M120" s="828"/>
      <c r="N120" s="446" t="s">
        <v>318</v>
      </c>
      <c r="O120" s="446" t="s">
        <v>293</v>
      </c>
      <c r="P120" s="446" t="s">
        <v>293</v>
      </c>
      <c r="Q120" s="841">
        <v>0</v>
      </c>
      <c r="R120" s="828"/>
      <c r="S120" s="841">
        <v>132.72999999999999</v>
      </c>
      <c r="T120" s="828"/>
      <c r="U120" s="842">
        <v>26497.98</v>
      </c>
      <c r="V120" s="828"/>
      <c r="W120" s="828"/>
      <c r="X120" s="828"/>
      <c r="Y120" s="828"/>
    </row>
    <row r="121" spans="1:25" ht="18" x14ac:dyDescent="0.25">
      <c r="A121" s="450" t="s">
        <v>719</v>
      </c>
      <c r="B121" s="446" t="s">
        <v>311</v>
      </c>
      <c r="C121" s="450" t="s">
        <v>861</v>
      </c>
      <c r="D121" s="840" t="s">
        <v>885</v>
      </c>
      <c r="E121" s="828"/>
      <c r="F121" s="828"/>
      <c r="G121" s="446" t="s">
        <v>505</v>
      </c>
      <c r="H121" s="830" t="s">
        <v>863</v>
      </c>
      <c r="I121" s="828"/>
      <c r="J121" s="828"/>
      <c r="K121" s="446" t="s">
        <v>316</v>
      </c>
      <c r="L121" s="830" t="s">
        <v>317</v>
      </c>
      <c r="M121" s="828"/>
      <c r="N121" s="446" t="s">
        <v>318</v>
      </c>
      <c r="O121" s="446" t="s">
        <v>293</v>
      </c>
      <c r="P121" s="446" t="s">
        <v>293</v>
      </c>
      <c r="Q121" s="841">
        <v>50.1</v>
      </c>
      <c r="R121" s="828"/>
      <c r="S121" s="841">
        <v>334</v>
      </c>
      <c r="T121" s="828"/>
      <c r="U121" s="842">
        <v>26831.98</v>
      </c>
      <c r="V121" s="828"/>
      <c r="W121" s="828"/>
      <c r="X121" s="828"/>
      <c r="Y121" s="828"/>
    </row>
    <row r="122" spans="1:25" ht="18" x14ac:dyDescent="0.25">
      <c r="A122" s="450" t="s">
        <v>719</v>
      </c>
      <c r="B122" s="446" t="s">
        <v>311</v>
      </c>
      <c r="C122" s="450" t="s">
        <v>861</v>
      </c>
      <c r="D122" s="840" t="s">
        <v>886</v>
      </c>
      <c r="E122" s="828"/>
      <c r="F122" s="828"/>
      <c r="G122" s="446" t="s">
        <v>505</v>
      </c>
      <c r="H122" s="830" t="s">
        <v>863</v>
      </c>
      <c r="I122" s="828"/>
      <c r="J122" s="828"/>
      <c r="K122" s="446" t="s">
        <v>316</v>
      </c>
      <c r="L122" s="830" t="s">
        <v>317</v>
      </c>
      <c r="M122" s="828"/>
      <c r="N122" s="446" t="s">
        <v>318</v>
      </c>
      <c r="O122" s="446" t="s">
        <v>293</v>
      </c>
      <c r="P122" s="446" t="s">
        <v>293</v>
      </c>
      <c r="Q122" s="841">
        <v>19.91</v>
      </c>
      <c r="R122" s="828"/>
      <c r="S122" s="841">
        <v>132.72999999999999</v>
      </c>
      <c r="T122" s="828"/>
      <c r="U122" s="842">
        <v>26964.71</v>
      </c>
      <c r="V122" s="828"/>
      <c r="W122" s="828"/>
      <c r="X122" s="828"/>
      <c r="Y122" s="828"/>
    </row>
    <row r="123" spans="1:25" x14ac:dyDescent="0.25">
      <c r="A123" s="450" t="s">
        <v>719</v>
      </c>
      <c r="B123" s="446" t="s">
        <v>325</v>
      </c>
      <c r="C123" s="450" t="s">
        <v>811</v>
      </c>
      <c r="D123" s="840" t="s">
        <v>887</v>
      </c>
      <c r="E123" s="828"/>
      <c r="F123" s="828"/>
      <c r="G123" s="446" t="s">
        <v>293</v>
      </c>
      <c r="H123" s="830" t="s">
        <v>293</v>
      </c>
      <c r="I123" s="828"/>
      <c r="J123" s="828"/>
      <c r="K123" s="446" t="s">
        <v>316</v>
      </c>
      <c r="L123" s="830" t="s">
        <v>317</v>
      </c>
      <c r="M123" s="828"/>
      <c r="N123" s="446" t="s">
        <v>318</v>
      </c>
      <c r="O123" s="446" t="s">
        <v>293</v>
      </c>
      <c r="P123" s="446" t="s">
        <v>293</v>
      </c>
      <c r="Q123" s="841">
        <v>0</v>
      </c>
      <c r="R123" s="828"/>
      <c r="S123" s="841">
        <v>-250.16</v>
      </c>
      <c r="T123" s="828"/>
      <c r="U123" s="842">
        <v>26714.55</v>
      </c>
      <c r="V123" s="828"/>
      <c r="W123" s="828"/>
      <c r="X123" s="828"/>
      <c r="Y123" s="828"/>
    </row>
    <row r="124" spans="1:25" x14ac:dyDescent="0.25">
      <c r="A124" s="450" t="s">
        <v>719</v>
      </c>
      <c r="B124" s="446" t="s">
        <v>325</v>
      </c>
      <c r="C124" s="450" t="s">
        <v>811</v>
      </c>
      <c r="D124" s="840" t="s">
        <v>866</v>
      </c>
      <c r="E124" s="828"/>
      <c r="F124" s="828"/>
      <c r="G124" s="446" t="s">
        <v>293</v>
      </c>
      <c r="H124" s="830" t="s">
        <v>293</v>
      </c>
      <c r="I124" s="828"/>
      <c r="J124" s="828"/>
      <c r="K124" s="446" t="s">
        <v>316</v>
      </c>
      <c r="L124" s="830" t="s">
        <v>317</v>
      </c>
      <c r="M124" s="828"/>
      <c r="N124" s="446" t="s">
        <v>318</v>
      </c>
      <c r="O124" s="446" t="s">
        <v>293</v>
      </c>
      <c r="P124" s="446" t="s">
        <v>293</v>
      </c>
      <c r="Q124" s="841">
        <v>0</v>
      </c>
      <c r="R124" s="828"/>
      <c r="S124" s="841">
        <v>-487.09</v>
      </c>
      <c r="T124" s="828"/>
      <c r="U124" s="842">
        <v>26227.46</v>
      </c>
      <c r="V124" s="828"/>
      <c r="W124" s="828"/>
      <c r="X124" s="828"/>
      <c r="Y124" s="828"/>
    </row>
    <row r="125" spans="1:25" x14ac:dyDescent="0.25">
      <c r="A125" s="450" t="s">
        <v>719</v>
      </c>
      <c r="B125" s="446" t="s">
        <v>325</v>
      </c>
      <c r="C125" s="450" t="s">
        <v>811</v>
      </c>
      <c r="D125" s="840" t="s">
        <v>866</v>
      </c>
      <c r="E125" s="828"/>
      <c r="F125" s="828"/>
      <c r="G125" s="446" t="s">
        <v>293</v>
      </c>
      <c r="H125" s="830" t="s">
        <v>293</v>
      </c>
      <c r="I125" s="828"/>
      <c r="J125" s="828"/>
      <c r="K125" s="446" t="s">
        <v>316</v>
      </c>
      <c r="L125" s="830" t="s">
        <v>317</v>
      </c>
      <c r="M125" s="828"/>
      <c r="N125" s="446" t="s">
        <v>318</v>
      </c>
      <c r="O125" s="446" t="s">
        <v>293</v>
      </c>
      <c r="P125" s="446" t="s">
        <v>293</v>
      </c>
      <c r="Q125" s="841">
        <v>0</v>
      </c>
      <c r="R125" s="828"/>
      <c r="S125" s="841">
        <v>-325.39999999999998</v>
      </c>
      <c r="T125" s="828"/>
      <c r="U125" s="842">
        <v>25902.06</v>
      </c>
      <c r="V125" s="828"/>
      <c r="W125" s="828"/>
      <c r="X125" s="828"/>
      <c r="Y125" s="828"/>
    </row>
    <row r="126" spans="1:25" x14ac:dyDescent="0.25">
      <c r="A126" s="450" t="s">
        <v>719</v>
      </c>
      <c r="B126" s="446" t="s">
        <v>325</v>
      </c>
      <c r="C126" s="450" t="s">
        <v>888</v>
      </c>
      <c r="D126" s="840" t="s">
        <v>889</v>
      </c>
      <c r="E126" s="828"/>
      <c r="F126" s="828"/>
      <c r="G126" s="446" t="s">
        <v>293</v>
      </c>
      <c r="H126" s="830" t="s">
        <v>293</v>
      </c>
      <c r="I126" s="828"/>
      <c r="J126" s="828"/>
      <c r="K126" s="446" t="s">
        <v>316</v>
      </c>
      <c r="L126" s="830" t="s">
        <v>317</v>
      </c>
      <c r="M126" s="828"/>
      <c r="N126" s="446" t="s">
        <v>318</v>
      </c>
      <c r="O126" s="446" t="s">
        <v>293</v>
      </c>
      <c r="P126" s="446" t="s">
        <v>293</v>
      </c>
      <c r="Q126" s="841">
        <v>0</v>
      </c>
      <c r="R126" s="828"/>
      <c r="S126" s="841">
        <v>-334</v>
      </c>
      <c r="T126" s="828"/>
      <c r="U126" s="842">
        <v>25568.06</v>
      </c>
      <c r="V126" s="828"/>
      <c r="W126" s="828"/>
      <c r="X126" s="828"/>
      <c r="Y126" s="828"/>
    </row>
    <row r="127" spans="1:25" x14ac:dyDescent="0.25">
      <c r="A127" s="450" t="s">
        <v>719</v>
      </c>
      <c r="B127" s="446" t="s">
        <v>325</v>
      </c>
      <c r="C127" s="450" t="s">
        <v>888</v>
      </c>
      <c r="D127" s="840" t="s">
        <v>890</v>
      </c>
      <c r="E127" s="828"/>
      <c r="F127" s="828"/>
      <c r="G127" s="446" t="s">
        <v>293</v>
      </c>
      <c r="H127" s="830" t="s">
        <v>293</v>
      </c>
      <c r="I127" s="828"/>
      <c r="J127" s="828"/>
      <c r="K127" s="446" t="s">
        <v>316</v>
      </c>
      <c r="L127" s="830" t="s">
        <v>317</v>
      </c>
      <c r="M127" s="828"/>
      <c r="N127" s="446" t="s">
        <v>318</v>
      </c>
      <c r="O127" s="446" t="s">
        <v>293</v>
      </c>
      <c r="P127" s="446" t="s">
        <v>293</v>
      </c>
      <c r="Q127" s="841">
        <v>0</v>
      </c>
      <c r="R127" s="828"/>
      <c r="S127" s="841">
        <v>-132.72999999999999</v>
      </c>
      <c r="T127" s="828"/>
      <c r="U127" s="842">
        <v>25435.33</v>
      </c>
      <c r="V127" s="828"/>
      <c r="W127" s="828"/>
      <c r="X127" s="828"/>
      <c r="Y127" s="828"/>
    </row>
    <row r="128" spans="1:25" x14ac:dyDescent="0.25">
      <c r="A128" s="450" t="s">
        <v>754</v>
      </c>
      <c r="B128" s="446" t="s">
        <v>325</v>
      </c>
      <c r="C128" s="450" t="s">
        <v>867</v>
      </c>
      <c r="D128" s="840" t="s">
        <v>891</v>
      </c>
      <c r="E128" s="828"/>
      <c r="F128" s="828"/>
      <c r="G128" s="446" t="s">
        <v>293</v>
      </c>
      <c r="H128" s="830" t="s">
        <v>293</v>
      </c>
      <c r="I128" s="828"/>
      <c r="J128" s="828"/>
      <c r="K128" s="446" t="s">
        <v>316</v>
      </c>
      <c r="L128" s="830" t="s">
        <v>317</v>
      </c>
      <c r="M128" s="828"/>
      <c r="N128" s="446" t="s">
        <v>318</v>
      </c>
      <c r="O128" s="446" t="s">
        <v>293</v>
      </c>
      <c r="P128" s="446" t="s">
        <v>293</v>
      </c>
      <c r="Q128" s="841">
        <v>0</v>
      </c>
      <c r="R128" s="828"/>
      <c r="S128" s="841">
        <v>31.62</v>
      </c>
      <c r="T128" s="828"/>
      <c r="U128" s="842">
        <v>25466.95</v>
      </c>
      <c r="V128" s="828"/>
      <c r="W128" s="828"/>
      <c r="X128" s="828"/>
      <c r="Y128" s="828"/>
    </row>
    <row r="129" spans="1:25" x14ac:dyDescent="0.25">
      <c r="A129" s="450" t="s">
        <v>754</v>
      </c>
      <c r="B129" s="446" t="s">
        <v>325</v>
      </c>
      <c r="C129" s="450" t="s">
        <v>867</v>
      </c>
      <c r="D129" s="840" t="s">
        <v>892</v>
      </c>
      <c r="E129" s="828"/>
      <c r="F129" s="828"/>
      <c r="G129" s="446" t="s">
        <v>293</v>
      </c>
      <c r="H129" s="830" t="s">
        <v>293</v>
      </c>
      <c r="I129" s="828"/>
      <c r="J129" s="828"/>
      <c r="K129" s="446" t="s">
        <v>316</v>
      </c>
      <c r="L129" s="830" t="s">
        <v>317</v>
      </c>
      <c r="M129" s="828"/>
      <c r="N129" s="446" t="s">
        <v>318</v>
      </c>
      <c r="O129" s="446" t="s">
        <v>293</v>
      </c>
      <c r="P129" s="446" t="s">
        <v>293</v>
      </c>
      <c r="Q129" s="841">
        <v>0</v>
      </c>
      <c r="R129" s="828"/>
      <c r="S129" s="841">
        <v>348.93</v>
      </c>
      <c r="T129" s="828"/>
      <c r="U129" s="842">
        <v>25815.88</v>
      </c>
      <c r="V129" s="828"/>
      <c r="W129" s="828"/>
      <c r="X129" s="828"/>
      <c r="Y129" s="828"/>
    </row>
    <row r="130" spans="1:25" x14ac:dyDescent="0.25">
      <c r="A130" s="450" t="s">
        <v>754</v>
      </c>
      <c r="B130" s="446" t="s">
        <v>325</v>
      </c>
      <c r="C130" s="450" t="s">
        <v>867</v>
      </c>
      <c r="D130" s="840" t="s">
        <v>893</v>
      </c>
      <c r="E130" s="828"/>
      <c r="F130" s="828"/>
      <c r="G130" s="446" t="s">
        <v>293</v>
      </c>
      <c r="H130" s="830" t="s">
        <v>293</v>
      </c>
      <c r="I130" s="828"/>
      <c r="J130" s="828"/>
      <c r="K130" s="446" t="s">
        <v>316</v>
      </c>
      <c r="L130" s="830" t="s">
        <v>317</v>
      </c>
      <c r="M130" s="828"/>
      <c r="N130" s="446" t="s">
        <v>318</v>
      </c>
      <c r="O130" s="446" t="s">
        <v>293</v>
      </c>
      <c r="P130" s="446" t="s">
        <v>293</v>
      </c>
      <c r="Q130" s="841">
        <v>0</v>
      </c>
      <c r="R130" s="828"/>
      <c r="S130" s="841">
        <v>361.44</v>
      </c>
      <c r="T130" s="828"/>
      <c r="U130" s="842">
        <v>26177.32</v>
      </c>
      <c r="V130" s="828"/>
      <c r="W130" s="828"/>
      <c r="X130" s="828"/>
      <c r="Y130" s="828"/>
    </row>
    <row r="131" spans="1:25" x14ac:dyDescent="0.25">
      <c r="A131" s="450" t="s">
        <v>754</v>
      </c>
      <c r="B131" s="446" t="s">
        <v>325</v>
      </c>
      <c r="C131" s="450" t="s">
        <v>867</v>
      </c>
      <c r="D131" s="840" t="s">
        <v>870</v>
      </c>
      <c r="E131" s="828"/>
      <c r="F131" s="828"/>
      <c r="G131" s="446" t="s">
        <v>293</v>
      </c>
      <c r="H131" s="830" t="s">
        <v>293</v>
      </c>
      <c r="I131" s="828"/>
      <c r="J131" s="828"/>
      <c r="K131" s="446" t="s">
        <v>316</v>
      </c>
      <c r="L131" s="830" t="s">
        <v>411</v>
      </c>
      <c r="M131" s="828"/>
      <c r="N131" s="446" t="s">
        <v>318</v>
      </c>
      <c r="O131" s="446" t="s">
        <v>293</v>
      </c>
      <c r="P131" s="446" t="s">
        <v>293</v>
      </c>
      <c r="Q131" s="841">
        <v>0</v>
      </c>
      <c r="R131" s="828"/>
      <c r="S131" s="841">
        <v>357.83</v>
      </c>
      <c r="T131" s="828"/>
      <c r="U131" s="842">
        <v>26535.15</v>
      </c>
      <c r="V131" s="828"/>
      <c r="W131" s="828"/>
      <c r="X131" s="828"/>
      <c r="Y131" s="828"/>
    </row>
    <row r="132" spans="1:25" x14ac:dyDescent="0.25">
      <c r="A132" s="450" t="s">
        <v>754</v>
      </c>
      <c r="B132" s="446" t="s">
        <v>325</v>
      </c>
      <c r="C132" s="450" t="s">
        <v>867</v>
      </c>
      <c r="D132" s="840" t="s">
        <v>869</v>
      </c>
      <c r="E132" s="828"/>
      <c r="F132" s="828"/>
      <c r="G132" s="446" t="s">
        <v>293</v>
      </c>
      <c r="H132" s="830" t="s">
        <v>293</v>
      </c>
      <c r="I132" s="828"/>
      <c r="J132" s="828"/>
      <c r="K132" s="446" t="s">
        <v>316</v>
      </c>
      <c r="L132" s="830" t="s">
        <v>317</v>
      </c>
      <c r="M132" s="828"/>
      <c r="N132" s="446" t="s">
        <v>318</v>
      </c>
      <c r="O132" s="446" t="s">
        <v>293</v>
      </c>
      <c r="P132" s="446" t="s">
        <v>293</v>
      </c>
      <c r="Q132" s="841">
        <v>0</v>
      </c>
      <c r="R132" s="828"/>
      <c r="S132" s="841">
        <v>-202.35</v>
      </c>
      <c r="T132" s="828"/>
      <c r="U132" s="842">
        <v>26332.799999999999</v>
      </c>
      <c r="V132" s="828"/>
      <c r="W132" s="828"/>
      <c r="X132" s="828"/>
      <c r="Y132" s="828"/>
    </row>
    <row r="133" spans="1:25" ht="18" x14ac:dyDescent="0.25">
      <c r="A133" s="450" t="s">
        <v>761</v>
      </c>
      <c r="B133" s="446" t="s">
        <v>311</v>
      </c>
      <c r="C133" s="450" t="s">
        <v>871</v>
      </c>
      <c r="D133" s="840" t="s">
        <v>894</v>
      </c>
      <c r="E133" s="828"/>
      <c r="F133" s="828"/>
      <c r="G133" s="446" t="s">
        <v>505</v>
      </c>
      <c r="H133" s="830" t="s">
        <v>873</v>
      </c>
      <c r="I133" s="828"/>
      <c r="J133" s="828"/>
      <c r="K133" s="446" t="s">
        <v>316</v>
      </c>
      <c r="L133" s="830" t="s">
        <v>317</v>
      </c>
      <c r="M133" s="828"/>
      <c r="N133" s="446" t="s">
        <v>318</v>
      </c>
      <c r="O133" s="446" t="s">
        <v>293</v>
      </c>
      <c r="P133" s="446" t="s">
        <v>293</v>
      </c>
      <c r="Q133" s="841">
        <v>54.22</v>
      </c>
      <c r="R133" s="828"/>
      <c r="S133" s="841">
        <v>361.44</v>
      </c>
      <c r="T133" s="828"/>
      <c r="U133" s="842">
        <v>26694.240000000002</v>
      </c>
      <c r="V133" s="828"/>
      <c r="W133" s="828"/>
      <c r="X133" s="828"/>
      <c r="Y133" s="828"/>
    </row>
    <row r="134" spans="1:25" ht="18" x14ac:dyDescent="0.25">
      <c r="A134" s="450" t="s">
        <v>761</v>
      </c>
      <c r="B134" s="446" t="s">
        <v>311</v>
      </c>
      <c r="C134" s="450" t="s">
        <v>871</v>
      </c>
      <c r="D134" s="840" t="s">
        <v>895</v>
      </c>
      <c r="E134" s="828"/>
      <c r="F134" s="828"/>
      <c r="G134" s="446" t="s">
        <v>505</v>
      </c>
      <c r="H134" s="830" t="s">
        <v>873</v>
      </c>
      <c r="I134" s="828"/>
      <c r="J134" s="828"/>
      <c r="K134" s="446" t="s">
        <v>316</v>
      </c>
      <c r="L134" s="830" t="s">
        <v>317</v>
      </c>
      <c r="M134" s="828"/>
      <c r="N134" s="446" t="s">
        <v>318</v>
      </c>
      <c r="O134" s="446" t="s">
        <v>293</v>
      </c>
      <c r="P134" s="446" t="s">
        <v>293</v>
      </c>
      <c r="Q134" s="841">
        <v>52.34</v>
      </c>
      <c r="R134" s="828"/>
      <c r="S134" s="841">
        <v>348.93</v>
      </c>
      <c r="T134" s="828"/>
      <c r="U134" s="842">
        <v>27043.17</v>
      </c>
      <c r="V134" s="828"/>
      <c r="W134" s="828"/>
      <c r="X134" s="828"/>
      <c r="Y134" s="828"/>
    </row>
    <row r="135" spans="1:25" ht="18" x14ac:dyDescent="0.25">
      <c r="A135" s="450" t="s">
        <v>761</v>
      </c>
      <c r="B135" s="446" t="s">
        <v>311</v>
      </c>
      <c r="C135" s="450" t="s">
        <v>871</v>
      </c>
      <c r="D135" s="840" t="s">
        <v>896</v>
      </c>
      <c r="E135" s="828"/>
      <c r="F135" s="828"/>
      <c r="G135" s="446" t="s">
        <v>505</v>
      </c>
      <c r="H135" s="830" t="s">
        <v>873</v>
      </c>
      <c r="I135" s="828"/>
      <c r="J135" s="828"/>
      <c r="K135" s="446" t="s">
        <v>316</v>
      </c>
      <c r="L135" s="830" t="s">
        <v>317</v>
      </c>
      <c r="M135" s="828"/>
      <c r="N135" s="446" t="s">
        <v>318</v>
      </c>
      <c r="O135" s="446" t="s">
        <v>293</v>
      </c>
      <c r="P135" s="446" t="s">
        <v>293</v>
      </c>
      <c r="Q135" s="841">
        <v>4.74</v>
      </c>
      <c r="R135" s="828"/>
      <c r="S135" s="841">
        <v>31.62</v>
      </c>
      <c r="T135" s="828"/>
      <c r="U135" s="842">
        <v>27074.79</v>
      </c>
      <c r="V135" s="828"/>
      <c r="W135" s="828"/>
      <c r="X135" s="828"/>
      <c r="Y135" s="828"/>
    </row>
    <row r="136" spans="1:25" x14ac:dyDescent="0.25">
      <c r="A136" s="450" t="s">
        <v>761</v>
      </c>
      <c r="B136" s="446" t="s">
        <v>325</v>
      </c>
      <c r="C136" s="450" t="s">
        <v>874</v>
      </c>
      <c r="D136" s="840" t="s">
        <v>891</v>
      </c>
      <c r="E136" s="828"/>
      <c r="F136" s="828"/>
      <c r="G136" s="446" t="s">
        <v>293</v>
      </c>
      <c r="H136" s="830" t="s">
        <v>293</v>
      </c>
      <c r="I136" s="828"/>
      <c r="J136" s="828"/>
      <c r="K136" s="446" t="s">
        <v>316</v>
      </c>
      <c r="L136" s="830" t="s">
        <v>317</v>
      </c>
      <c r="M136" s="828"/>
      <c r="N136" s="446" t="s">
        <v>318</v>
      </c>
      <c r="O136" s="446" t="s">
        <v>293</v>
      </c>
      <c r="P136" s="446" t="s">
        <v>293</v>
      </c>
      <c r="Q136" s="841">
        <v>0</v>
      </c>
      <c r="R136" s="828"/>
      <c r="S136" s="841">
        <v>-31.62</v>
      </c>
      <c r="T136" s="828"/>
      <c r="U136" s="842">
        <v>27043.17</v>
      </c>
      <c r="V136" s="828"/>
      <c r="W136" s="828"/>
      <c r="X136" s="828"/>
      <c r="Y136" s="828"/>
    </row>
    <row r="137" spans="1:25" x14ac:dyDescent="0.25">
      <c r="A137" s="450" t="s">
        <v>761</v>
      </c>
      <c r="B137" s="446" t="s">
        <v>325</v>
      </c>
      <c r="C137" s="450" t="s">
        <v>874</v>
      </c>
      <c r="D137" s="840" t="s">
        <v>892</v>
      </c>
      <c r="E137" s="828"/>
      <c r="F137" s="828"/>
      <c r="G137" s="446" t="s">
        <v>293</v>
      </c>
      <c r="H137" s="830" t="s">
        <v>293</v>
      </c>
      <c r="I137" s="828"/>
      <c r="J137" s="828"/>
      <c r="K137" s="446" t="s">
        <v>316</v>
      </c>
      <c r="L137" s="830" t="s">
        <v>317</v>
      </c>
      <c r="M137" s="828"/>
      <c r="N137" s="446" t="s">
        <v>318</v>
      </c>
      <c r="O137" s="446" t="s">
        <v>293</v>
      </c>
      <c r="P137" s="446" t="s">
        <v>293</v>
      </c>
      <c r="Q137" s="841">
        <v>0</v>
      </c>
      <c r="R137" s="828"/>
      <c r="S137" s="841">
        <v>-348.93</v>
      </c>
      <c r="T137" s="828"/>
      <c r="U137" s="842">
        <v>26694.240000000002</v>
      </c>
      <c r="V137" s="828"/>
      <c r="W137" s="828"/>
      <c r="X137" s="828"/>
      <c r="Y137" s="828"/>
    </row>
    <row r="138" spans="1:25" x14ac:dyDescent="0.25">
      <c r="A138" s="450" t="s">
        <v>761</v>
      </c>
      <c r="B138" s="446" t="s">
        <v>325</v>
      </c>
      <c r="C138" s="450" t="s">
        <v>874</v>
      </c>
      <c r="D138" s="840" t="s">
        <v>893</v>
      </c>
      <c r="E138" s="828"/>
      <c r="F138" s="828"/>
      <c r="G138" s="446" t="s">
        <v>293</v>
      </c>
      <c r="H138" s="830" t="s">
        <v>293</v>
      </c>
      <c r="I138" s="828"/>
      <c r="J138" s="828"/>
      <c r="K138" s="446" t="s">
        <v>316</v>
      </c>
      <c r="L138" s="830" t="s">
        <v>317</v>
      </c>
      <c r="M138" s="828"/>
      <c r="N138" s="446" t="s">
        <v>318</v>
      </c>
      <c r="O138" s="446" t="s">
        <v>293</v>
      </c>
      <c r="P138" s="446" t="s">
        <v>293</v>
      </c>
      <c r="Q138" s="841">
        <v>0</v>
      </c>
      <c r="R138" s="828"/>
      <c r="S138" s="841">
        <v>-361.44</v>
      </c>
      <c r="T138" s="828"/>
      <c r="U138" s="842">
        <v>26332.799999999999</v>
      </c>
      <c r="V138" s="828"/>
      <c r="W138" s="828"/>
      <c r="X138" s="828"/>
      <c r="Y138" s="828"/>
    </row>
    <row r="139" spans="1:25" x14ac:dyDescent="0.25">
      <c r="A139" s="450" t="s">
        <v>761</v>
      </c>
      <c r="B139" s="446" t="s">
        <v>325</v>
      </c>
      <c r="C139" s="450" t="s">
        <v>874</v>
      </c>
      <c r="D139" s="840" t="s">
        <v>870</v>
      </c>
      <c r="E139" s="828"/>
      <c r="F139" s="828"/>
      <c r="G139" s="446" t="s">
        <v>293</v>
      </c>
      <c r="H139" s="830" t="s">
        <v>293</v>
      </c>
      <c r="I139" s="828"/>
      <c r="J139" s="828"/>
      <c r="K139" s="446" t="s">
        <v>316</v>
      </c>
      <c r="L139" s="830" t="s">
        <v>411</v>
      </c>
      <c r="M139" s="828"/>
      <c r="N139" s="446" t="s">
        <v>318</v>
      </c>
      <c r="O139" s="446" t="s">
        <v>293</v>
      </c>
      <c r="P139" s="446" t="s">
        <v>293</v>
      </c>
      <c r="Q139" s="841">
        <v>0</v>
      </c>
      <c r="R139" s="828"/>
      <c r="S139" s="841">
        <v>-357.83</v>
      </c>
      <c r="T139" s="828"/>
      <c r="U139" s="842">
        <v>25974.97</v>
      </c>
      <c r="V139" s="828"/>
      <c r="W139" s="828"/>
      <c r="X139" s="828"/>
      <c r="Y139" s="828"/>
    </row>
    <row r="140" spans="1:25" x14ac:dyDescent="0.25">
      <c r="A140" s="450" t="s">
        <v>761</v>
      </c>
      <c r="B140" s="446" t="s">
        <v>325</v>
      </c>
      <c r="C140" s="450" t="s">
        <v>874</v>
      </c>
      <c r="D140" s="840" t="s">
        <v>869</v>
      </c>
      <c r="E140" s="828"/>
      <c r="F140" s="828"/>
      <c r="G140" s="446" t="s">
        <v>293</v>
      </c>
      <c r="H140" s="830" t="s">
        <v>293</v>
      </c>
      <c r="I140" s="828"/>
      <c r="J140" s="828"/>
      <c r="K140" s="446" t="s">
        <v>316</v>
      </c>
      <c r="L140" s="830" t="s">
        <v>317</v>
      </c>
      <c r="M140" s="828"/>
      <c r="N140" s="446" t="s">
        <v>318</v>
      </c>
      <c r="O140" s="446" t="s">
        <v>293</v>
      </c>
      <c r="P140" s="446" t="s">
        <v>293</v>
      </c>
      <c r="Q140" s="841">
        <v>0</v>
      </c>
      <c r="R140" s="828"/>
      <c r="S140" s="841">
        <v>202.35</v>
      </c>
      <c r="T140" s="828"/>
      <c r="U140" s="842">
        <v>26177.32</v>
      </c>
      <c r="V140" s="828"/>
      <c r="W140" s="828"/>
      <c r="X140" s="828"/>
      <c r="Y140" s="828"/>
    </row>
    <row r="141" spans="1:25" ht="18" x14ac:dyDescent="0.25">
      <c r="A141" s="450" t="s">
        <v>761</v>
      </c>
      <c r="B141" s="446" t="s">
        <v>311</v>
      </c>
      <c r="C141" s="450" t="s">
        <v>897</v>
      </c>
      <c r="D141" s="840" t="s">
        <v>898</v>
      </c>
      <c r="E141" s="828"/>
      <c r="F141" s="828"/>
      <c r="G141" s="446" t="s">
        <v>505</v>
      </c>
      <c r="H141" s="830" t="s">
        <v>899</v>
      </c>
      <c r="I141" s="828"/>
      <c r="J141" s="828"/>
      <c r="K141" s="446" t="s">
        <v>316</v>
      </c>
      <c r="L141" s="830" t="s">
        <v>317</v>
      </c>
      <c r="M141" s="828"/>
      <c r="N141" s="446" t="s">
        <v>318</v>
      </c>
      <c r="O141" s="446" t="s">
        <v>293</v>
      </c>
      <c r="P141" s="446" t="s">
        <v>293</v>
      </c>
      <c r="Q141" s="841">
        <v>8.8699999999999992</v>
      </c>
      <c r="R141" s="828"/>
      <c r="S141" s="841">
        <v>59.13</v>
      </c>
      <c r="T141" s="828"/>
      <c r="U141" s="842">
        <v>26236.45</v>
      </c>
      <c r="V141" s="828"/>
      <c r="W141" s="828"/>
      <c r="X141" s="828"/>
      <c r="Y141" s="828"/>
    </row>
    <row r="142" spans="1:25" ht="18" x14ac:dyDescent="0.25">
      <c r="A142" s="450" t="s">
        <v>761</v>
      </c>
      <c r="B142" s="446" t="s">
        <v>311</v>
      </c>
      <c r="C142" s="450" t="s">
        <v>897</v>
      </c>
      <c r="D142" s="840" t="s">
        <v>900</v>
      </c>
      <c r="E142" s="828"/>
      <c r="F142" s="828"/>
      <c r="G142" s="446" t="s">
        <v>505</v>
      </c>
      <c r="H142" s="830" t="s">
        <v>899</v>
      </c>
      <c r="I142" s="828"/>
      <c r="J142" s="828"/>
      <c r="K142" s="446" t="s">
        <v>316</v>
      </c>
      <c r="L142" s="830" t="s">
        <v>317</v>
      </c>
      <c r="M142" s="828"/>
      <c r="N142" s="446" t="s">
        <v>318</v>
      </c>
      <c r="O142" s="446" t="s">
        <v>293</v>
      </c>
      <c r="P142" s="446" t="s">
        <v>293</v>
      </c>
      <c r="Q142" s="841">
        <v>1.96</v>
      </c>
      <c r="R142" s="828"/>
      <c r="S142" s="841">
        <v>13.04</v>
      </c>
      <c r="T142" s="828"/>
      <c r="U142" s="842">
        <v>26249.49</v>
      </c>
      <c r="V142" s="828"/>
      <c r="W142" s="828"/>
      <c r="X142" s="828"/>
      <c r="Y142" s="828"/>
    </row>
    <row r="143" spans="1:25" ht="18" x14ac:dyDescent="0.25">
      <c r="A143" s="450" t="s">
        <v>761</v>
      </c>
      <c r="B143" s="446" t="s">
        <v>311</v>
      </c>
      <c r="C143" s="450" t="s">
        <v>897</v>
      </c>
      <c r="D143" s="840" t="s">
        <v>900</v>
      </c>
      <c r="E143" s="828"/>
      <c r="F143" s="828"/>
      <c r="G143" s="446" t="s">
        <v>505</v>
      </c>
      <c r="H143" s="830" t="s">
        <v>899</v>
      </c>
      <c r="I143" s="828"/>
      <c r="J143" s="828"/>
      <c r="K143" s="446" t="s">
        <v>316</v>
      </c>
      <c r="L143" s="830" t="s">
        <v>317</v>
      </c>
      <c r="M143" s="828"/>
      <c r="N143" s="446" t="s">
        <v>318</v>
      </c>
      <c r="O143" s="446" t="s">
        <v>293</v>
      </c>
      <c r="P143" s="446" t="s">
        <v>293</v>
      </c>
      <c r="Q143" s="841">
        <v>11.49</v>
      </c>
      <c r="R143" s="828"/>
      <c r="S143" s="841">
        <v>76.61</v>
      </c>
      <c r="T143" s="828"/>
      <c r="U143" s="842">
        <v>26326.1</v>
      </c>
      <c r="V143" s="828"/>
      <c r="W143" s="828"/>
      <c r="X143" s="828"/>
      <c r="Y143" s="828"/>
    </row>
    <row r="144" spans="1:25" ht="18" x14ac:dyDescent="0.25">
      <c r="A144" s="450" t="s">
        <v>761</v>
      </c>
      <c r="B144" s="446" t="s">
        <v>311</v>
      </c>
      <c r="C144" s="450" t="s">
        <v>897</v>
      </c>
      <c r="D144" s="840" t="s">
        <v>901</v>
      </c>
      <c r="E144" s="828"/>
      <c r="F144" s="828"/>
      <c r="G144" s="446" t="s">
        <v>505</v>
      </c>
      <c r="H144" s="830" t="s">
        <v>899</v>
      </c>
      <c r="I144" s="828"/>
      <c r="J144" s="828"/>
      <c r="K144" s="446" t="s">
        <v>316</v>
      </c>
      <c r="L144" s="830" t="s">
        <v>317</v>
      </c>
      <c r="M144" s="828"/>
      <c r="N144" s="446" t="s">
        <v>318</v>
      </c>
      <c r="O144" s="446" t="s">
        <v>293</v>
      </c>
      <c r="P144" s="446" t="s">
        <v>293</v>
      </c>
      <c r="Q144" s="841">
        <v>8.8699999999999992</v>
      </c>
      <c r="R144" s="828"/>
      <c r="S144" s="841">
        <v>59.13</v>
      </c>
      <c r="T144" s="828"/>
      <c r="U144" s="842">
        <v>26385.23</v>
      </c>
      <c r="V144" s="828"/>
      <c r="W144" s="828"/>
      <c r="X144" s="828"/>
      <c r="Y144" s="828"/>
    </row>
    <row r="145" spans="1:28" ht="18" x14ac:dyDescent="0.25">
      <c r="A145" s="450" t="s">
        <v>761</v>
      </c>
      <c r="B145" s="446" t="s">
        <v>311</v>
      </c>
      <c r="C145" s="450" t="s">
        <v>897</v>
      </c>
      <c r="D145" s="840" t="s">
        <v>902</v>
      </c>
      <c r="E145" s="828"/>
      <c r="F145" s="828"/>
      <c r="G145" s="446" t="s">
        <v>505</v>
      </c>
      <c r="H145" s="830" t="s">
        <v>899</v>
      </c>
      <c r="I145" s="828"/>
      <c r="J145" s="828"/>
      <c r="K145" s="446" t="s">
        <v>316</v>
      </c>
      <c r="L145" s="830" t="s">
        <v>317</v>
      </c>
      <c r="M145" s="828"/>
      <c r="N145" s="446" t="s">
        <v>318</v>
      </c>
      <c r="O145" s="446" t="s">
        <v>293</v>
      </c>
      <c r="P145" s="446" t="s">
        <v>293</v>
      </c>
      <c r="Q145" s="841">
        <v>1.96</v>
      </c>
      <c r="R145" s="828"/>
      <c r="S145" s="841">
        <v>13.04</v>
      </c>
      <c r="T145" s="828"/>
      <c r="U145" s="842">
        <v>26398.27</v>
      </c>
      <c r="V145" s="828"/>
      <c r="W145" s="828"/>
      <c r="X145" s="828"/>
      <c r="Y145" s="828"/>
      <c r="Z145" s="445"/>
      <c r="AA145" s="445"/>
      <c r="AB145" s="445"/>
    </row>
    <row r="146" spans="1:28" ht="18" x14ac:dyDescent="0.25">
      <c r="A146" s="450" t="s">
        <v>761</v>
      </c>
      <c r="B146" s="446" t="s">
        <v>311</v>
      </c>
      <c r="C146" s="450" t="s">
        <v>897</v>
      </c>
      <c r="D146" s="840" t="s">
        <v>902</v>
      </c>
      <c r="E146" s="828"/>
      <c r="F146" s="828"/>
      <c r="G146" s="446" t="s">
        <v>505</v>
      </c>
      <c r="H146" s="830" t="s">
        <v>899</v>
      </c>
      <c r="I146" s="828"/>
      <c r="J146" s="828"/>
      <c r="K146" s="446" t="s">
        <v>316</v>
      </c>
      <c r="L146" s="830" t="s">
        <v>317</v>
      </c>
      <c r="M146" s="828"/>
      <c r="N146" s="446" t="s">
        <v>318</v>
      </c>
      <c r="O146" s="446" t="s">
        <v>293</v>
      </c>
      <c r="P146" s="446" t="s">
        <v>293</v>
      </c>
      <c r="Q146" s="841">
        <v>20.53</v>
      </c>
      <c r="R146" s="828"/>
      <c r="S146" s="841">
        <v>136.88</v>
      </c>
      <c r="T146" s="828"/>
      <c r="U146" s="842">
        <v>26535.15</v>
      </c>
      <c r="V146" s="828"/>
      <c r="W146" s="828"/>
      <c r="X146" s="828"/>
      <c r="Y146" s="828"/>
      <c r="Z146" s="445"/>
      <c r="AA146" s="445"/>
      <c r="AB146" s="445"/>
    </row>
    <row r="147" spans="1:28" ht="18" x14ac:dyDescent="0.25">
      <c r="A147" s="450" t="s">
        <v>761</v>
      </c>
      <c r="B147" s="446" t="s">
        <v>311</v>
      </c>
      <c r="C147" s="450" t="s">
        <v>897</v>
      </c>
      <c r="D147" s="840" t="s">
        <v>903</v>
      </c>
      <c r="E147" s="828"/>
      <c r="F147" s="828"/>
      <c r="G147" s="446" t="s">
        <v>505</v>
      </c>
      <c r="H147" s="830" t="s">
        <v>899</v>
      </c>
      <c r="I147" s="828"/>
      <c r="J147" s="828"/>
      <c r="K147" s="446" t="s">
        <v>316</v>
      </c>
      <c r="L147" s="830" t="s">
        <v>317</v>
      </c>
      <c r="M147" s="828"/>
      <c r="N147" s="446" t="s">
        <v>318</v>
      </c>
      <c r="O147" s="446" t="s">
        <v>293</v>
      </c>
      <c r="P147" s="446" t="s">
        <v>293</v>
      </c>
      <c r="Q147" s="841">
        <v>-62.36</v>
      </c>
      <c r="R147" s="828"/>
      <c r="S147" s="841">
        <v>-415.72</v>
      </c>
      <c r="T147" s="828"/>
      <c r="U147" s="842">
        <v>26119.43</v>
      </c>
      <c r="V147" s="828"/>
      <c r="W147" s="828"/>
      <c r="X147" s="828"/>
      <c r="Y147" s="828"/>
      <c r="Z147" s="445"/>
      <c r="AA147" s="445"/>
      <c r="AB147" s="445"/>
    </row>
    <row r="148" spans="1:28" ht="18" x14ac:dyDescent="0.25">
      <c r="A148" s="450" t="s">
        <v>761</v>
      </c>
      <c r="B148" s="446" t="s">
        <v>311</v>
      </c>
      <c r="C148" s="450" t="s">
        <v>897</v>
      </c>
      <c r="D148" s="840" t="s">
        <v>903</v>
      </c>
      <c r="E148" s="828"/>
      <c r="F148" s="828"/>
      <c r="G148" s="446" t="s">
        <v>505</v>
      </c>
      <c r="H148" s="830" t="s">
        <v>899</v>
      </c>
      <c r="I148" s="828"/>
      <c r="J148" s="828"/>
      <c r="K148" s="446" t="s">
        <v>316</v>
      </c>
      <c r="L148" s="830" t="s">
        <v>317</v>
      </c>
      <c r="M148" s="828"/>
      <c r="N148" s="446" t="s">
        <v>318</v>
      </c>
      <c r="O148" s="446" t="s">
        <v>293</v>
      </c>
      <c r="P148" s="446" t="s">
        <v>293</v>
      </c>
      <c r="Q148" s="841">
        <v>10.02</v>
      </c>
      <c r="R148" s="828"/>
      <c r="S148" s="841">
        <v>66.790000000000006</v>
      </c>
      <c r="T148" s="828"/>
      <c r="U148" s="842">
        <v>26186.22</v>
      </c>
      <c r="V148" s="828"/>
      <c r="W148" s="828"/>
      <c r="X148" s="828"/>
      <c r="Y148" s="828"/>
      <c r="Z148" s="445"/>
      <c r="AA148" s="445"/>
      <c r="AB148" s="445"/>
    </row>
    <row r="149" spans="1:28" ht="18" x14ac:dyDescent="0.25">
      <c r="A149" s="450" t="s">
        <v>761</v>
      </c>
      <c r="B149" s="446" t="s">
        <v>311</v>
      </c>
      <c r="C149" s="450" t="s">
        <v>897</v>
      </c>
      <c r="D149" s="840" t="s">
        <v>904</v>
      </c>
      <c r="E149" s="828"/>
      <c r="F149" s="828"/>
      <c r="G149" s="446" t="s">
        <v>505</v>
      </c>
      <c r="H149" s="830" t="s">
        <v>899</v>
      </c>
      <c r="I149" s="828"/>
      <c r="J149" s="828"/>
      <c r="K149" s="446" t="s">
        <v>316</v>
      </c>
      <c r="L149" s="830" t="s">
        <v>317</v>
      </c>
      <c r="M149" s="828"/>
      <c r="N149" s="446" t="s">
        <v>318</v>
      </c>
      <c r="O149" s="446" t="s">
        <v>293</v>
      </c>
      <c r="P149" s="446" t="s">
        <v>293</v>
      </c>
      <c r="Q149" s="841">
        <v>-54.84</v>
      </c>
      <c r="R149" s="828"/>
      <c r="S149" s="841">
        <v>-365.62</v>
      </c>
      <c r="T149" s="828"/>
      <c r="U149" s="842">
        <v>25820.6</v>
      </c>
      <c r="V149" s="828"/>
      <c r="W149" s="828"/>
      <c r="X149" s="828"/>
      <c r="Y149" s="828"/>
      <c r="Z149" s="445"/>
      <c r="AA149" s="445"/>
      <c r="AB149" s="445"/>
    </row>
    <row r="150" spans="1:28" x14ac:dyDescent="0.25">
      <c r="A150" s="831" t="s">
        <v>293</v>
      </c>
      <c r="B150" s="828"/>
      <c r="C150" s="828"/>
      <c r="D150" s="828"/>
      <c r="E150" s="831" t="s">
        <v>502</v>
      </c>
      <c r="F150" s="828"/>
      <c r="G150" s="828"/>
      <c r="H150" s="831" t="s">
        <v>293</v>
      </c>
      <c r="I150" s="828"/>
      <c r="J150" s="828"/>
      <c r="K150" s="828"/>
      <c r="L150" s="828"/>
      <c r="M150" s="828"/>
      <c r="N150" s="449" t="s">
        <v>293</v>
      </c>
      <c r="O150" s="449" t="s">
        <v>293</v>
      </c>
      <c r="P150" s="449" t="s">
        <v>293</v>
      </c>
      <c r="Q150" s="843">
        <v>251.32</v>
      </c>
      <c r="R150" s="828"/>
      <c r="S150" s="843">
        <v>862.85</v>
      </c>
      <c r="T150" s="828"/>
      <c r="U150" s="843">
        <v>25820.6</v>
      </c>
      <c r="V150" s="828"/>
      <c r="W150" s="828"/>
      <c r="X150" s="828"/>
      <c r="Y150" s="828"/>
      <c r="Z150" s="445"/>
      <c r="AA150" s="445"/>
      <c r="AB150" s="445"/>
    </row>
    <row r="151" spans="1:28" ht="24" customHeight="1" x14ac:dyDescent="0.25">
      <c r="A151" s="833" t="s">
        <v>293</v>
      </c>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445"/>
      <c r="AA151" s="445"/>
      <c r="AB151" s="445"/>
    </row>
    <row r="152" spans="1:28" ht="12" customHeight="1" x14ac:dyDescent="0.25">
      <c r="A152" s="831" t="s">
        <v>307</v>
      </c>
      <c r="B152" s="828"/>
      <c r="C152" s="449" t="s">
        <v>293</v>
      </c>
      <c r="D152" s="449" t="s">
        <v>386</v>
      </c>
      <c r="E152" s="831" t="s">
        <v>387</v>
      </c>
      <c r="F152" s="828"/>
      <c r="G152" s="828"/>
      <c r="H152" s="831" t="s">
        <v>293</v>
      </c>
      <c r="I152" s="828"/>
      <c r="J152" s="828"/>
      <c r="K152" s="828"/>
      <c r="L152" s="828"/>
      <c r="M152" s="828"/>
      <c r="N152" s="828"/>
      <c r="O152" s="828"/>
      <c r="P152" s="828"/>
      <c r="Q152" s="828"/>
      <c r="R152" s="828"/>
      <c r="S152" s="828"/>
      <c r="T152" s="828"/>
      <c r="U152" s="843">
        <v>16546.240000000002</v>
      </c>
      <c r="V152" s="828"/>
      <c r="W152" s="828"/>
      <c r="X152" s="828"/>
      <c r="Y152" s="828"/>
      <c r="Z152" s="445"/>
      <c r="AA152" s="445"/>
      <c r="AB152" s="445"/>
    </row>
    <row r="153" spans="1:28" s="464" customFormat="1" ht="18" x14ac:dyDescent="0.25">
      <c r="A153" s="451" t="s">
        <v>703</v>
      </c>
      <c r="B153" s="452" t="s">
        <v>325</v>
      </c>
      <c r="C153" s="451" t="s">
        <v>905</v>
      </c>
      <c r="D153" s="844" t="s">
        <v>906</v>
      </c>
      <c r="E153" s="845"/>
      <c r="F153" s="845"/>
      <c r="G153" s="452" t="s">
        <v>293</v>
      </c>
      <c r="H153" s="846" t="s">
        <v>293</v>
      </c>
      <c r="I153" s="845"/>
      <c r="J153" s="845"/>
      <c r="K153" s="452" t="s">
        <v>316</v>
      </c>
      <c r="L153" s="846" t="s">
        <v>411</v>
      </c>
      <c r="M153" s="845"/>
      <c r="N153" s="452" t="s">
        <v>333</v>
      </c>
      <c r="O153" s="452" t="s">
        <v>293</v>
      </c>
      <c r="P153" s="452" t="s">
        <v>293</v>
      </c>
      <c r="Q153" s="847">
        <v>68.680000000000007</v>
      </c>
      <c r="R153" s="845"/>
      <c r="S153" s="847">
        <v>457.86</v>
      </c>
      <c r="T153" s="845"/>
      <c r="U153" s="848">
        <v>17004.099999999999</v>
      </c>
      <c r="V153" s="845"/>
      <c r="W153" s="845"/>
      <c r="X153" s="845"/>
      <c r="Y153" s="845"/>
      <c r="Z153" s="453"/>
      <c r="AA153" s="453"/>
      <c r="AB153" s="453" t="s">
        <v>832</v>
      </c>
    </row>
    <row r="154" spans="1:28" ht="18" x14ac:dyDescent="0.25">
      <c r="A154" s="450" t="s">
        <v>703</v>
      </c>
      <c r="B154" s="446" t="s">
        <v>311</v>
      </c>
      <c r="C154" s="450" t="s">
        <v>878</v>
      </c>
      <c r="D154" s="840" t="s">
        <v>907</v>
      </c>
      <c r="E154" s="828"/>
      <c r="F154" s="828"/>
      <c r="G154" s="446" t="s">
        <v>505</v>
      </c>
      <c r="H154" s="830" t="s">
        <v>880</v>
      </c>
      <c r="I154" s="828"/>
      <c r="J154" s="828"/>
      <c r="K154" s="446" t="s">
        <v>316</v>
      </c>
      <c r="L154" s="830" t="s">
        <v>317</v>
      </c>
      <c r="M154" s="828"/>
      <c r="N154" s="446" t="s">
        <v>318</v>
      </c>
      <c r="O154" s="446" t="s">
        <v>293</v>
      </c>
      <c r="P154" s="446" t="s">
        <v>293</v>
      </c>
      <c r="Q154" s="841">
        <v>3.12</v>
      </c>
      <c r="R154" s="828"/>
      <c r="S154" s="841">
        <v>20.85</v>
      </c>
      <c r="T154" s="828"/>
      <c r="U154" s="842">
        <v>17024.95</v>
      </c>
      <c r="V154" s="828"/>
      <c r="W154" s="828"/>
      <c r="X154" s="828"/>
      <c r="Y154" s="828"/>
      <c r="Z154" s="445"/>
      <c r="AA154" s="445"/>
      <c r="AB154" s="445"/>
    </row>
    <row r="155" spans="1:28" ht="18" x14ac:dyDescent="0.25">
      <c r="A155" s="450" t="s">
        <v>703</v>
      </c>
      <c r="B155" s="446" t="s">
        <v>311</v>
      </c>
      <c r="C155" s="450" t="s">
        <v>878</v>
      </c>
      <c r="D155" s="840" t="s">
        <v>908</v>
      </c>
      <c r="E155" s="828"/>
      <c r="F155" s="828"/>
      <c r="G155" s="446" t="s">
        <v>505</v>
      </c>
      <c r="H155" s="830" t="s">
        <v>880</v>
      </c>
      <c r="I155" s="828"/>
      <c r="J155" s="828"/>
      <c r="K155" s="446" t="s">
        <v>316</v>
      </c>
      <c r="L155" s="830" t="s">
        <v>317</v>
      </c>
      <c r="M155" s="828"/>
      <c r="N155" s="446" t="s">
        <v>318</v>
      </c>
      <c r="O155" s="446" t="s">
        <v>293</v>
      </c>
      <c r="P155" s="446" t="s">
        <v>293</v>
      </c>
      <c r="Q155" s="841">
        <v>32.18</v>
      </c>
      <c r="R155" s="828"/>
      <c r="S155" s="841">
        <v>214.59</v>
      </c>
      <c r="T155" s="828"/>
      <c r="U155" s="842">
        <v>17239.54</v>
      </c>
      <c r="V155" s="828"/>
      <c r="W155" s="828"/>
      <c r="X155" s="828"/>
      <c r="Y155" s="828"/>
      <c r="Z155" s="445"/>
      <c r="AA155" s="445"/>
      <c r="AB155" s="445"/>
    </row>
    <row r="156" spans="1:28" ht="18" x14ac:dyDescent="0.25">
      <c r="A156" s="450" t="s">
        <v>703</v>
      </c>
      <c r="B156" s="446" t="s">
        <v>325</v>
      </c>
      <c r="C156" s="450" t="s">
        <v>909</v>
      </c>
      <c r="D156" s="840" t="s">
        <v>910</v>
      </c>
      <c r="E156" s="828"/>
      <c r="F156" s="828"/>
      <c r="G156" s="446" t="s">
        <v>293</v>
      </c>
      <c r="H156" s="830" t="s">
        <v>293</v>
      </c>
      <c r="I156" s="828"/>
      <c r="J156" s="828"/>
      <c r="K156" s="446" t="s">
        <v>316</v>
      </c>
      <c r="L156" s="830" t="s">
        <v>317</v>
      </c>
      <c r="M156" s="828"/>
      <c r="N156" s="446" t="s">
        <v>318</v>
      </c>
      <c r="O156" s="446" t="s">
        <v>293</v>
      </c>
      <c r="P156" s="446" t="s">
        <v>293</v>
      </c>
      <c r="Q156" s="841">
        <v>2.35</v>
      </c>
      <c r="R156" s="828"/>
      <c r="S156" s="841">
        <v>15.65</v>
      </c>
      <c r="T156" s="828"/>
      <c r="U156" s="842">
        <v>17255.189999999999</v>
      </c>
      <c r="V156" s="828"/>
      <c r="W156" s="828"/>
      <c r="X156" s="828"/>
      <c r="Y156" s="828"/>
      <c r="Z156" s="445"/>
      <c r="AA156" s="445"/>
      <c r="AB156" s="445"/>
    </row>
    <row r="157" spans="1:28" s="464" customFormat="1" ht="18" x14ac:dyDescent="0.25">
      <c r="A157" s="451" t="s">
        <v>703</v>
      </c>
      <c r="B157" s="452" t="s">
        <v>325</v>
      </c>
      <c r="C157" s="451" t="s">
        <v>911</v>
      </c>
      <c r="D157" s="844" t="s">
        <v>912</v>
      </c>
      <c r="E157" s="845"/>
      <c r="F157" s="845"/>
      <c r="G157" s="452" t="s">
        <v>293</v>
      </c>
      <c r="H157" s="846" t="s">
        <v>293</v>
      </c>
      <c r="I157" s="845"/>
      <c r="J157" s="845"/>
      <c r="K157" s="452" t="s">
        <v>316</v>
      </c>
      <c r="L157" s="846" t="s">
        <v>411</v>
      </c>
      <c r="M157" s="845"/>
      <c r="N157" s="452" t="s">
        <v>333</v>
      </c>
      <c r="O157" s="452" t="s">
        <v>293</v>
      </c>
      <c r="P157" s="452" t="s">
        <v>293</v>
      </c>
      <c r="Q157" s="847">
        <v>22.96</v>
      </c>
      <c r="R157" s="845"/>
      <c r="S157" s="847">
        <v>153.04</v>
      </c>
      <c r="T157" s="845"/>
      <c r="U157" s="848">
        <v>17408.23</v>
      </c>
      <c r="V157" s="845"/>
      <c r="W157" s="845"/>
      <c r="X157" s="845"/>
      <c r="Y157" s="845"/>
      <c r="Z157" s="453"/>
      <c r="AA157" s="453"/>
      <c r="AB157" s="453" t="s">
        <v>832</v>
      </c>
    </row>
    <row r="158" spans="1:28" ht="18" x14ac:dyDescent="0.25">
      <c r="A158" s="450" t="s">
        <v>703</v>
      </c>
      <c r="B158" s="446" t="s">
        <v>325</v>
      </c>
      <c r="C158" s="450" t="s">
        <v>913</v>
      </c>
      <c r="D158" s="840" t="s">
        <v>914</v>
      </c>
      <c r="E158" s="828"/>
      <c r="F158" s="828"/>
      <c r="G158" s="446" t="s">
        <v>293</v>
      </c>
      <c r="H158" s="830" t="s">
        <v>293</v>
      </c>
      <c r="I158" s="828"/>
      <c r="J158" s="828"/>
      <c r="K158" s="446" t="s">
        <v>316</v>
      </c>
      <c r="L158" s="830" t="s">
        <v>317</v>
      </c>
      <c r="M158" s="828"/>
      <c r="N158" s="446" t="s">
        <v>318</v>
      </c>
      <c r="O158" s="446" t="s">
        <v>293</v>
      </c>
      <c r="P158" s="446" t="s">
        <v>293</v>
      </c>
      <c r="Q158" s="841">
        <v>5.28</v>
      </c>
      <c r="R158" s="828"/>
      <c r="S158" s="841">
        <v>35.22</v>
      </c>
      <c r="T158" s="828"/>
      <c r="U158" s="842">
        <v>17443.45</v>
      </c>
      <c r="V158" s="828"/>
      <c r="W158" s="828"/>
      <c r="X158" s="828"/>
      <c r="Y158" s="828"/>
      <c r="Z158" s="445"/>
      <c r="AA158" s="445"/>
      <c r="AB158" s="445"/>
    </row>
    <row r="159" spans="1:28" ht="18" x14ac:dyDescent="0.25">
      <c r="A159" s="450" t="s">
        <v>915</v>
      </c>
      <c r="B159" s="446" t="s">
        <v>325</v>
      </c>
      <c r="C159" s="450" t="s">
        <v>916</v>
      </c>
      <c r="D159" s="840" t="s">
        <v>917</v>
      </c>
      <c r="E159" s="828"/>
      <c r="F159" s="828"/>
      <c r="G159" s="446" t="s">
        <v>293</v>
      </c>
      <c r="H159" s="830" t="s">
        <v>293</v>
      </c>
      <c r="I159" s="828"/>
      <c r="J159" s="828"/>
      <c r="K159" s="446" t="s">
        <v>316</v>
      </c>
      <c r="L159" s="830" t="s">
        <v>317</v>
      </c>
      <c r="M159" s="828"/>
      <c r="N159" s="446" t="s">
        <v>318</v>
      </c>
      <c r="O159" s="446" t="s">
        <v>293</v>
      </c>
      <c r="P159" s="446" t="s">
        <v>293</v>
      </c>
      <c r="Q159" s="841">
        <v>2.97</v>
      </c>
      <c r="R159" s="828"/>
      <c r="S159" s="841">
        <v>19.829999999999998</v>
      </c>
      <c r="T159" s="828"/>
      <c r="U159" s="842">
        <v>17463.28</v>
      </c>
      <c r="V159" s="828"/>
      <c r="W159" s="828"/>
      <c r="X159" s="828"/>
      <c r="Y159" s="828"/>
      <c r="Z159" s="445"/>
      <c r="AA159" s="445"/>
      <c r="AB159" s="445"/>
    </row>
    <row r="160" spans="1:28" ht="18" x14ac:dyDescent="0.25">
      <c r="A160" s="450" t="s">
        <v>918</v>
      </c>
      <c r="B160" s="446" t="s">
        <v>325</v>
      </c>
      <c r="C160" s="450" t="s">
        <v>919</v>
      </c>
      <c r="D160" s="840" t="s">
        <v>920</v>
      </c>
      <c r="E160" s="828"/>
      <c r="F160" s="828"/>
      <c r="G160" s="446" t="s">
        <v>293</v>
      </c>
      <c r="H160" s="830" t="s">
        <v>293</v>
      </c>
      <c r="I160" s="828"/>
      <c r="J160" s="828"/>
      <c r="K160" s="446" t="s">
        <v>316</v>
      </c>
      <c r="L160" s="830" t="s">
        <v>317</v>
      </c>
      <c r="M160" s="828"/>
      <c r="N160" s="446" t="s">
        <v>318</v>
      </c>
      <c r="O160" s="446" t="s">
        <v>293</v>
      </c>
      <c r="P160" s="446" t="s">
        <v>293</v>
      </c>
      <c r="Q160" s="841">
        <v>6.2</v>
      </c>
      <c r="R160" s="828"/>
      <c r="S160" s="841">
        <v>41.3</v>
      </c>
      <c r="T160" s="828"/>
      <c r="U160" s="842">
        <v>17504.580000000002</v>
      </c>
      <c r="V160" s="828"/>
      <c r="W160" s="828"/>
      <c r="X160" s="828"/>
      <c r="Y160" s="828"/>
      <c r="Z160" s="445"/>
      <c r="AA160" s="445"/>
      <c r="AB160" s="445"/>
    </row>
    <row r="161" spans="1:28" x14ac:dyDescent="0.25">
      <c r="A161" s="450" t="s">
        <v>714</v>
      </c>
      <c r="B161" s="446" t="s">
        <v>325</v>
      </c>
      <c r="C161" s="450" t="s">
        <v>882</v>
      </c>
      <c r="D161" s="840" t="s">
        <v>884</v>
      </c>
      <c r="E161" s="828"/>
      <c r="F161" s="828"/>
      <c r="G161" s="446" t="s">
        <v>293</v>
      </c>
      <c r="H161" s="830" t="s">
        <v>293</v>
      </c>
      <c r="I161" s="828"/>
      <c r="J161" s="828"/>
      <c r="K161" s="446" t="s">
        <v>316</v>
      </c>
      <c r="L161" s="830" t="s">
        <v>317</v>
      </c>
      <c r="M161" s="828"/>
      <c r="N161" s="446" t="s">
        <v>318</v>
      </c>
      <c r="O161" s="446" t="s">
        <v>293</v>
      </c>
      <c r="P161" s="446" t="s">
        <v>293</v>
      </c>
      <c r="Q161" s="841">
        <v>0</v>
      </c>
      <c r="R161" s="828"/>
      <c r="S161" s="841">
        <v>598.26</v>
      </c>
      <c r="T161" s="828"/>
      <c r="U161" s="842">
        <v>18102.84</v>
      </c>
      <c r="V161" s="828"/>
      <c r="W161" s="828"/>
      <c r="X161" s="828"/>
      <c r="Y161" s="828"/>
      <c r="Z161" s="445"/>
      <c r="AA161" s="445"/>
      <c r="AB161" s="445"/>
    </row>
    <row r="162" spans="1:28" x14ac:dyDescent="0.25">
      <c r="A162" s="450" t="s">
        <v>714</v>
      </c>
      <c r="B162" s="446" t="s">
        <v>325</v>
      </c>
      <c r="C162" s="450" t="s">
        <v>882</v>
      </c>
      <c r="D162" s="840" t="s">
        <v>884</v>
      </c>
      <c r="E162" s="828"/>
      <c r="F162" s="828"/>
      <c r="G162" s="446" t="s">
        <v>293</v>
      </c>
      <c r="H162" s="830" t="s">
        <v>293</v>
      </c>
      <c r="I162" s="828"/>
      <c r="J162" s="828"/>
      <c r="K162" s="446" t="s">
        <v>316</v>
      </c>
      <c r="L162" s="830" t="s">
        <v>317</v>
      </c>
      <c r="M162" s="828"/>
      <c r="N162" s="446" t="s">
        <v>318</v>
      </c>
      <c r="O162" s="446" t="s">
        <v>293</v>
      </c>
      <c r="P162" s="446" t="s">
        <v>293</v>
      </c>
      <c r="Q162" s="841">
        <v>0</v>
      </c>
      <c r="R162" s="828"/>
      <c r="S162" s="841">
        <v>781.39</v>
      </c>
      <c r="T162" s="828"/>
      <c r="U162" s="842">
        <v>18884.23</v>
      </c>
      <c r="V162" s="828"/>
      <c r="W162" s="828"/>
      <c r="X162" s="828"/>
      <c r="Y162" s="828"/>
      <c r="Z162" s="445"/>
      <c r="AA162" s="445"/>
      <c r="AB162" s="445"/>
    </row>
    <row r="163" spans="1:28" ht="18" x14ac:dyDescent="0.25">
      <c r="A163" s="450" t="s">
        <v>719</v>
      </c>
      <c r="B163" s="446" t="s">
        <v>311</v>
      </c>
      <c r="C163" s="450" t="s">
        <v>861</v>
      </c>
      <c r="D163" s="840" t="s">
        <v>921</v>
      </c>
      <c r="E163" s="828"/>
      <c r="F163" s="828"/>
      <c r="G163" s="446" t="s">
        <v>505</v>
      </c>
      <c r="H163" s="830" t="s">
        <v>863</v>
      </c>
      <c r="I163" s="828"/>
      <c r="J163" s="828"/>
      <c r="K163" s="446" t="s">
        <v>316</v>
      </c>
      <c r="L163" s="830" t="s">
        <v>317</v>
      </c>
      <c r="M163" s="828"/>
      <c r="N163" s="446" t="s">
        <v>318</v>
      </c>
      <c r="O163" s="446" t="s">
        <v>293</v>
      </c>
      <c r="P163" s="446" t="s">
        <v>293</v>
      </c>
      <c r="Q163" s="841">
        <v>117.21</v>
      </c>
      <c r="R163" s="828"/>
      <c r="S163" s="841">
        <v>781.39</v>
      </c>
      <c r="T163" s="828"/>
      <c r="U163" s="842">
        <v>19665.62</v>
      </c>
      <c r="V163" s="828"/>
      <c r="W163" s="828"/>
      <c r="X163" s="828"/>
      <c r="Y163" s="828"/>
      <c r="Z163" s="445"/>
      <c r="AA163" s="445"/>
      <c r="AB163" s="445"/>
    </row>
    <row r="164" spans="1:28" ht="18" x14ac:dyDescent="0.25">
      <c r="A164" s="450" t="s">
        <v>719</v>
      </c>
      <c r="B164" s="446" t="s">
        <v>311</v>
      </c>
      <c r="C164" s="450" t="s">
        <v>861</v>
      </c>
      <c r="D164" s="840" t="s">
        <v>922</v>
      </c>
      <c r="E164" s="828"/>
      <c r="F164" s="828"/>
      <c r="G164" s="446" t="s">
        <v>505</v>
      </c>
      <c r="H164" s="830" t="s">
        <v>863</v>
      </c>
      <c r="I164" s="828"/>
      <c r="J164" s="828"/>
      <c r="K164" s="446" t="s">
        <v>316</v>
      </c>
      <c r="L164" s="830" t="s">
        <v>317</v>
      </c>
      <c r="M164" s="828"/>
      <c r="N164" s="446" t="s">
        <v>318</v>
      </c>
      <c r="O164" s="446" t="s">
        <v>293</v>
      </c>
      <c r="P164" s="446" t="s">
        <v>293</v>
      </c>
      <c r="Q164" s="841">
        <v>89.73</v>
      </c>
      <c r="R164" s="828"/>
      <c r="S164" s="841">
        <v>598.26</v>
      </c>
      <c r="T164" s="828"/>
      <c r="U164" s="842">
        <v>20263.88</v>
      </c>
      <c r="V164" s="828"/>
      <c r="W164" s="828"/>
      <c r="X164" s="828"/>
      <c r="Y164" s="828"/>
      <c r="Z164" s="445"/>
      <c r="AA164" s="445"/>
      <c r="AB164" s="445"/>
    </row>
    <row r="165" spans="1:28" x14ac:dyDescent="0.25">
      <c r="A165" s="450" t="s">
        <v>719</v>
      </c>
      <c r="B165" s="446" t="s">
        <v>325</v>
      </c>
      <c r="C165" s="450" t="s">
        <v>811</v>
      </c>
      <c r="D165" s="840" t="s">
        <v>866</v>
      </c>
      <c r="E165" s="828"/>
      <c r="F165" s="828"/>
      <c r="G165" s="446" t="s">
        <v>293</v>
      </c>
      <c r="H165" s="830" t="s">
        <v>293</v>
      </c>
      <c r="I165" s="828"/>
      <c r="J165" s="828"/>
      <c r="K165" s="446" t="s">
        <v>316</v>
      </c>
      <c r="L165" s="830" t="s">
        <v>317</v>
      </c>
      <c r="M165" s="828"/>
      <c r="N165" s="446" t="s">
        <v>318</v>
      </c>
      <c r="O165" s="446" t="s">
        <v>293</v>
      </c>
      <c r="P165" s="446" t="s">
        <v>293</v>
      </c>
      <c r="Q165" s="841">
        <v>0</v>
      </c>
      <c r="R165" s="828"/>
      <c r="S165" s="841">
        <v>-206.09</v>
      </c>
      <c r="T165" s="828"/>
      <c r="U165" s="842">
        <v>20057.79</v>
      </c>
      <c r="V165" s="828"/>
      <c r="W165" s="828"/>
      <c r="X165" s="828"/>
      <c r="Y165" s="828"/>
      <c r="Z165" s="445"/>
      <c r="AA165" s="445"/>
      <c r="AB165" s="445"/>
    </row>
    <row r="166" spans="1:28" x14ac:dyDescent="0.25">
      <c r="A166" s="450" t="s">
        <v>719</v>
      </c>
      <c r="B166" s="446" t="s">
        <v>325</v>
      </c>
      <c r="C166" s="450" t="s">
        <v>888</v>
      </c>
      <c r="D166" s="840" t="s">
        <v>890</v>
      </c>
      <c r="E166" s="828"/>
      <c r="F166" s="828"/>
      <c r="G166" s="446" t="s">
        <v>293</v>
      </c>
      <c r="H166" s="830" t="s">
        <v>293</v>
      </c>
      <c r="I166" s="828"/>
      <c r="J166" s="828"/>
      <c r="K166" s="446" t="s">
        <v>316</v>
      </c>
      <c r="L166" s="830" t="s">
        <v>317</v>
      </c>
      <c r="M166" s="828"/>
      <c r="N166" s="446" t="s">
        <v>318</v>
      </c>
      <c r="O166" s="446" t="s">
        <v>293</v>
      </c>
      <c r="P166" s="446" t="s">
        <v>293</v>
      </c>
      <c r="Q166" s="841">
        <v>0</v>
      </c>
      <c r="R166" s="828"/>
      <c r="S166" s="841">
        <v>-598.26</v>
      </c>
      <c r="T166" s="828"/>
      <c r="U166" s="842">
        <v>19459.53</v>
      </c>
      <c r="V166" s="828"/>
      <c r="W166" s="828"/>
      <c r="X166" s="828"/>
      <c r="Y166" s="828"/>
      <c r="Z166" s="445"/>
      <c r="AA166" s="445"/>
      <c r="AB166" s="445"/>
    </row>
    <row r="167" spans="1:28" x14ac:dyDescent="0.25">
      <c r="A167" s="450" t="s">
        <v>719</v>
      </c>
      <c r="B167" s="446" t="s">
        <v>325</v>
      </c>
      <c r="C167" s="450" t="s">
        <v>888</v>
      </c>
      <c r="D167" s="840" t="s">
        <v>890</v>
      </c>
      <c r="E167" s="828"/>
      <c r="F167" s="828"/>
      <c r="G167" s="446" t="s">
        <v>293</v>
      </c>
      <c r="H167" s="830" t="s">
        <v>293</v>
      </c>
      <c r="I167" s="828"/>
      <c r="J167" s="828"/>
      <c r="K167" s="446" t="s">
        <v>316</v>
      </c>
      <c r="L167" s="830" t="s">
        <v>317</v>
      </c>
      <c r="M167" s="828"/>
      <c r="N167" s="446" t="s">
        <v>318</v>
      </c>
      <c r="O167" s="446" t="s">
        <v>293</v>
      </c>
      <c r="P167" s="446" t="s">
        <v>293</v>
      </c>
      <c r="Q167" s="841">
        <v>0</v>
      </c>
      <c r="R167" s="828"/>
      <c r="S167" s="841">
        <v>-781.39</v>
      </c>
      <c r="T167" s="828"/>
      <c r="U167" s="842">
        <v>18678.14</v>
      </c>
      <c r="V167" s="828"/>
      <c r="W167" s="828"/>
      <c r="X167" s="828"/>
      <c r="Y167" s="828"/>
      <c r="Z167" s="445"/>
      <c r="AA167" s="445"/>
      <c r="AB167" s="445"/>
    </row>
    <row r="168" spans="1:28" x14ac:dyDescent="0.25">
      <c r="A168" s="450" t="s">
        <v>730</v>
      </c>
      <c r="B168" s="446" t="s">
        <v>325</v>
      </c>
      <c r="C168" s="450" t="s">
        <v>923</v>
      </c>
      <c r="D168" s="840" t="s">
        <v>924</v>
      </c>
      <c r="E168" s="828"/>
      <c r="F168" s="828"/>
      <c r="G168" s="446" t="s">
        <v>293</v>
      </c>
      <c r="H168" s="830" t="s">
        <v>293</v>
      </c>
      <c r="I168" s="828"/>
      <c r="J168" s="828"/>
      <c r="K168" s="446" t="s">
        <v>316</v>
      </c>
      <c r="L168" s="830" t="s">
        <v>317</v>
      </c>
      <c r="M168" s="828"/>
      <c r="N168" s="446" t="s">
        <v>318</v>
      </c>
      <c r="O168" s="446" t="s">
        <v>293</v>
      </c>
      <c r="P168" s="446" t="s">
        <v>293</v>
      </c>
      <c r="Q168" s="841">
        <v>0</v>
      </c>
      <c r="R168" s="828"/>
      <c r="S168" s="841">
        <v>208.81</v>
      </c>
      <c r="T168" s="828"/>
      <c r="U168" s="842">
        <v>18886.95</v>
      </c>
      <c r="V168" s="828"/>
      <c r="W168" s="828"/>
      <c r="X168" s="828"/>
      <c r="Y168" s="828"/>
      <c r="Z168" s="445"/>
      <c r="AA168" s="445"/>
      <c r="AB168" s="445"/>
    </row>
    <row r="169" spans="1:28" x14ac:dyDescent="0.25">
      <c r="A169" s="450" t="s">
        <v>730</v>
      </c>
      <c r="B169" s="446" t="s">
        <v>325</v>
      </c>
      <c r="C169" s="450" t="s">
        <v>923</v>
      </c>
      <c r="D169" s="840" t="s">
        <v>925</v>
      </c>
      <c r="E169" s="828"/>
      <c r="F169" s="828"/>
      <c r="G169" s="446" t="s">
        <v>293</v>
      </c>
      <c r="H169" s="830" t="s">
        <v>293</v>
      </c>
      <c r="I169" s="828"/>
      <c r="J169" s="828"/>
      <c r="K169" s="446" t="s">
        <v>316</v>
      </c>
      <c r="L169" s="830" t="s">
        <v>317</v>
      </c>
      <c r="M169" s="828"/>
      <c r="N169" s="446" t="s">
        <v>318</v>
      </c>
      <c r="O169" s="446" t="s">
        <v>293</v>
      </c>
      <c r="P169" s="446" t="s">
        <v>293</v>
      </c>
      <c r="Q169" s="841">
        <v>0</v>
      </c>
      <c r="R169" s="828"/>
      <c r="S169" s="841">
        <v>15.01</v>
      </c>
      <c r="T169" s="828"/>
      <c r="U169" s="842">
        <v>18901.96</v>
      </c>
      <c r="V169" s="828"/>
      <c r="W169" s="828"/>
      <c r="X169" s="828"/>
      <c r="Y169" s="828"/>
      <c r="Z169" s="445"/>
      <c r="AA169" s="445"/>
      <c r="AB169" s="445"/>
    </row>
    <row r="170" spans="1:28" x14ac:dyDescent="0.25">
      <c r="A170" s="450" t="s">
        <v>735</v>
      </c>
      <c r="B170" s="446" t="s">
        <v>325</v>
      </c>
      <c r="C170" s="450" t="s">
        <v>926</v>
      </c>
      <c r="D170" s="840" t="s">
        <v>927</v>
      </c>
      <c r="E170" s="828"/>
      <c r="F170" s="828"/>
      <c r="G170" s="446" t="s">
        <v>293</v>
      </c>
      <c r="H170" s="830" t="s">
        <v>293</v>
      </c>
      <c r="I170" s="828"/>
      <c r="J170" s="828"/>
      <c r="K170" s="446" t="s">
        <v>316</v>
      </c>
      <c r="L170" s="830" t="s">
        <v>317</v>
      </c>
      <c r="M170" s="828"/>
      <c r="N170" s="446" t="s">
        <v>318</v>
      </c>
      <c r="O170" s="446" t="s">
        <v>293</v>
      </c>
      <c r="P170" s="446" t="s">
        <v>293</v>
      </c>
      <c r="Q170" s="841">
        <v>0</v>
      </c>
      <c r="R170" s="828"/>
      <c r="S170" s="841">
        <v>-208.81</v>
      </c>
      <c r="T170" s="828"/>
      <c r="U170" s="842">
        <v>18693.150000000001</v>
      </c>
      <c r="V170" s="828"/>
      <c r="W170" s="828"/>
      <c r="X170" s="828"/>
      <c r="Y170" s="828"/>
      <c r="Z170" s="445"/>
      <c r="AA170" s="445"/>
      <c r="AB170" s="445"/>
    </row>
    <row r="171" spans="1:28" x14ac:dyDescent="0.25">
      <c r="A171" s="450" t="s">
        <v>735</v>
      </c>
      <c r="B171" s="446" t="s">
        <v>325</v>
      </c>
      <c r="C171" s="450" t="s">
        <v>926</v>
      </c>
      <c r="D171" s="840" t="s">
        <v>928</v>
      </c>
      <c r="E171" s="828"/>
      <c r="F171" s="828"/>
      <c r="G171" s="446" t="s">
        <v>293</v>
      </c>
      <c r="H171" s="830" t="s">
        <v>293</v>
      </c>
      <c r="I171" s="828"/>
      <c r="J171" s="828"/>
      <c r="K171" s="446" t="s">
        <v>316</v>
      </c>
      <c r="L171" s="830" t="s">
        <v>317</v>
      </c>
      <c r="M171" s="828"/>
      <c r="N171" s="446" t="s">
        <v>318</v>
      </c>
      <c r="O171" s="446" t="s">
        <v>293</v>
      </c>
      <c r="P171" s="446" t="s">
        <v>293</v>
      </c>
      <c r="Q171" s="841">
        <v>0</v>
      </c>
      <c r="R171" s="828"/>
      <c r="S171" s="841">
        <v>-15.01</v>
      </c>
      <c r="T171" s="828"/>
      <c r="U171" s="842">
        <v>18678.14</v>
      </c>
      <c r="V171" s="828"/>
      <c r="W171" s="828"/>
      <c r="X171" s="828"/>
      <c r="Y171" s="828"/>
      <c r="Z171" s="445"/>
      <c r="AA171" s="445"/>
      <c r="AB171" s="445"/>
    </row>
    <row r="172" spans="1:28" s="464" customFormat="1" ht="18" x14ac:dyDescent="0.25">
      <c r="A172" s="451" t="s">
        <v>820</v>
      </c>
      <c r="B172" s="452" t="s">
        <v>325</v>
      </c>
      <c r="C172" s="451" t="s">
        <v>929</v>
      </c>
      <c r="D172" s="844" t="s">
        <v>930</v>
      </c>
      <c r="E172" s="845"/>
      <c r="F172" s="845"/>
      <c r="G172" s="452" t="s">
        <v>293</v>
      </c>
      <c r="H172" s="846" t="s">
        <v>293</v>
      </c>
      <c r="I172" s="845"/>
      <c r="J172" s="845"/>
      <c r="K172" s="452" t="s">
        <v>316</v>
      </c>
      <c r="L172" s="846" t="s">
        <v>317</v>
      </c>
      <c r="M172" s="845"/>
      <c r="N172" s="452" t="s">
        <v>318</v>
      </c>
      <c r="O172" s="452" t="s">
        <v>293</v>
      </c>
      <c r="P172" s="452" t="s">
        <v>293</v>
      </c>
      <c r="Q172" s="847">
        <v>3.76</v>
      </c>
      <c r="R172" s="845"/>
      <c r="S172" s="847">
        <v>25.04</v>
      </c>
      <c r="T172" s="845"/>
      <c r="U172" s="848">
        <v>18703.18</v>
      </c>
      <c r="V172" s="845"/>
      <c r="W172" s="845"/>
      <c r="X172" s="845"/>
      <c r="Y172" s="845"/>
      <c r="Z172" s="453"/>
      <c r="AA172" s="453"/>
      <c r="AB172" s="453" t="s">
        <v>931</v>
      </c>
    </row>
    <row r="173" spans="1:28" s="464" customFormat="1" ht="18" x14ac:dyDescent="0.25">
      <c r="A173" s="451" t="s">
        <v>820</v>
      </c>
      <c r="B173" s="452" t="s">
        <v>325</v>
      </c>
      <c r="C173" s="451" t="s">
        <v>932</v>
      </c>
      <c r="D173" s="844" t="s">
        <v>933</v>
      </c>
      <c r="E173" s="845"/>
      <c r="F173" s="845"/>
      <c r="G173" s="452" t="s">
        <v>293</v>
      </c>
      <c r="H173" s="846" t="s">
        <v>293</v>
      </c>
      <c r="I173" s="845"/>
      <c r="J173" s="845"/>
      <c r="K173" s="452" t="s">
        <v>316</v>
      </c>
      <c r="L173" s="846" t="s">
        <v>317</v>
      </c>
      <c r="M173" s="845"/>
      <c r="N173" s="452" t="s">
        <v>318</v>
      </c>
      <c r="O173" s="452" t="s">
        <v>293</v>
      </c>
      <c r="P173" s="452" t="s">
        <v>293</v>
      </c>
      <c r="Q173" s="847">
        <v>7.54</v>
      </c>
      <c r="R173" s="845"/>
      <c r="S173" s="847">
        <v>50.26</v>
      </c>
      <c r="T173" s="845"/>
      <c r="U173" s="848">
        <v>18753.439999999999</v>
      </c>
      <c r="V173" s="845"/>
      <c r="W173" s="845"/>
      <c r="X173" s="845"/>
      <c r="Y173" s="845"/>
      <c r="Z173" s="453"/>
      <c r="AA173" s="453"/>
      <c r="AB173" s="453" t="s">
        <v>931</v>
      </c>
    </row>
    <row r="174" spans="1:28" s="464" customFormat="1" x14ac:dyDescent="0.25">
      <c r="A174" s="451" t="s">
        <v>934</v>
      </c>
      <c r="B174" s="452" t="s">
        <v>325</v>
      </c>
      <c r="C174" s="451" t="s">
        <v>935</v>
      </c>
      <c r="D174" s="844" t="s">
        <v>936</v>
      </c>
      <c r="E174" s="845"/>
      <c r="F174" s="845"/>
      <c r="G174" s="452" t="s">
        <v>293</v>
      </c>
      <c r="H174" s="846" t="s">
        <v>293</v>
      </c>
      <c r="I174" s="845"/>
      <c r="J174" s="845"/>
      <c r="K174" s="452" t="s">
        <v>316</v>
      </c>
      <c r="L174" s="846" t="s">
        <v>317</v>
      </c>
      <c r="M174" s="845"/>
      <c r="N174" s="452" t="s">
        <v>333</v>
      </c>
      <c r="O174" s="452" t="s">
        <v>293</v>
      </c>
      <c r="P174" s="452" t="s">
        <v>293</v>
      </c>
      <c r="Q174" s="847">
        <v>0</v>
      </c>
      <c r="R174" s="845"/>
      <c r="S174" s="847">
        <v>-20</v>
      </c>
      <c r="T174" s="845"/>
      <c r="U174" s="848">
        <v>18733.439999999999</v>
      </c>
      <c r="V174" s="845"/>
      <c r="W174" s="845"/>
      <c r="X174" s="845"/>
      <c r="Y174" s="845"/>
      <c r="Z174" s="453"/>
      <c r="AA174" s="453"/>
      <c r="AB174" s="453" t="s">
        <v>937</v>
      </c>
    </row>
    <row r="175" spans="1:28" x14ac:dyDescent="0.25">
      <c r="A175" s="831" t="s">
        <v>293</v>
      </c>
      <c r="B175" s="828"/>
      <c r="C175" s="828"/>
      <c r="D175" s="828"/>
      <c r="E175" s="831" t="s">
        <v>387</v>
      </c>
      <c r="F175" s="828"/>
      <c r="G175" s="828"/>
      <c r="H175" s="831" t="s">
        <v>293</v>
      </c>
      <c r="I175" s="828"/>
      <c r="J175" s="828"/>
      <c r="K175" s="828"/>
      <c r="L175" s="828"/>
      <c r="M175" s="828"/>
      <c r="N175" s="449" t="s">
        <v>293</v>
      </c>
      <c r="O175" s="449" t="s">
        <v>293</v>
      </c>
      <c r="P175" s="449" t="s">
        <v>293</v>
      </c>
      <c r="Q175" s="843">
        <v>361.98</v>
      </c>
      <c r="R175" s="828"/>
      <c r="S175" s="843">
        <v>2187.1999999999998</v>
      </c>
      <c r="T175" s="828"/>
      <c r="U175" s="843">
        <v>18733.439999999999</v>
      </c>
      <c r="V175" s="828"/>
      <c r="W175" s="828"/>
      <c r="X175" s="828"/>
      <c r="Y175" s="828"/>
      <c r="Z175" s="445"/>
      <c r="AA175" s="445"/>
      <c r="AB175" s="445"/>
    </row>
    <row r="176" spans="1:28" ht="24" customHeight="1" x14ac:dyDescent="0.25">
      <c r="A176" s="833" t="s">
        <v>293</v>
      </c>
      <c r="B176" s="828"/>
      <c r="C176" s="828"/>
      <c r="D176" s="828"/>
      <c r="E176" s="828"/>
      <c r="F176" s="828"/>
      <c r="G176" s="828"/>
      <c r="H176" s="828"/>
      <c r="I176" s="828"/>
      <c r="J176" s="828"/>
      <c r="K176" s="828"/>
      <c r="L176" s="828"/>
      <c r="M176" s="828"/>
      <c r="N176" s="828"/>
      <c r="O176" s="828"/>
      <c r="P176" s="828"/>
      <c r="Q176" s="828"/>
      <c r="R176" s="828"/>
      <c r="S176" s="828"/>
      <c r="T176" s="828"/>
      <c r="U176" s="828"/>
      <c r="V176" s="828"/>
      <c r="W176" s="828"/>
      <c r="X176" s="828"/>
      <c r="Y176" s="828"/>
      <c r="Z176" s="445"/>
      <c r="AA176" s="445"/>
      <c r="AB176" s="445"/>
    </row>
    <row r="177" spans="1:28" ht="12" customHeight="1" x14ac:dyDescent="0.25">
      <c r="A177" s="831" t="s">
        <v>307</v>
      </c>
      <c r="B177" s="828"/>
      <c r="C177" s="449" t="s">
        <v>293</v>
      </c>
      <c r="D177" s="449" t="s">
        <v>589</v>
      </c>
      <c r="E177" s="831" t="s">
        <v>590</v>
      </c>
      <c r="F177" s="828"/>
      <c r="G177" s="828"/>
      <c r="H177" s="831" t="s">
        <v>293</v>
      </c>
      <c r="I177" s="828"/>
      <c r="J177" s="828"/>
      <c r="K177" s="828"/>
      <c r="L177" s="828"/>
      <c r="M177" s="828"/>
      <c r="N177" s="828"/>
      <c r="O177" s="828"/>
      <c r="P177" s="828"/>
      <c r="Q177" s="828"/>
      <c r="R177" s="828"/>
      <c r="S177" s="828"/>
      <c r="T177" s="828"/>
      <c r="U177" s="843">
        <v>1005.64</v>
      </c>
      <c r="V177" s="828"/>
      <c r="W177" s="828"/>
      <c r="X177" s="828"/>
      <c r="Y177" s="828"/>
      <c r="Z177" s="445"/>
      <c r="AA177" s="445"/>
      <c r="AB177" s="445"/>
    </row>
    <row r="178" spans="1:28" x14ac:dyDescent="0.25">
      <c r="A178" s="450" t="s">
        <v>719</v>
      </c>
      <c r="B178" s="446" t="s">
        <v>325</v>
      </c>
      <c r="C178" s="450" t="s">
        <v>811</v>
      </c>
      <c r="D178" s="840" t="s">
        <v>866</v>
      </c>
      <c r="E178" s="828"/>
      <c r="F178" s="828"/>
      <c r="G178" s="446" t="s">
        <v>293</v>
      </c>
      <c r="H178" s="830" t="s">
        <v>293</v>
      </c>
      <c r="I178" s="828"/>
      <c r="J178" s="828"/>
      <c r="K178" s="446" t="s">
        <v>316</v>
      </c>
      <c r="L178" s="830" t="s">
        <v>317</v>
      </c>
      <c r="M178" s="828"/>
      <c r="N178" s="446" t="s">
        <v>318</v>
      </c>
      <c r="O178" s="446" t="s">
        <v>293</v>
      </c>
      <c r="P178" s="446" t="s">
        <v>293</v>
      </c>
      <c r="Q178" s="841">
        <v>0</v>
      </c>
      <c r="R178" s="828"/>
      <c r="S178" s="841">
        <v>-7.5</v>
      </c>
      <c r="T178" s="828"/>
      <c r="U178" s="842">
        <v>998.14</v>
      </c>
      <c r="V178" s="828"/>
      <c r="W178" s="828"/>
      <c r="X178" s="828"/>
      <c r="Y178" s="828"/>
      <c r="Z178" s="445"/>
      <c r="AA178" s="445"/>
      <c r="AB178" s="445"/>
    </row>
    <row r="179" spans="1:28" x14ac:dyDescent="0.25">
      <c r="A179" s="450" t="s">
        <v>719</v>
      </c>
      <c r="B179" s="446" t="s">
        <v>325</v>
      </c>
      <c r="C179" s="450" t="s">
        <v>811</v>
      </c>
      <c r="D179" s="840" t="s">
        <v>866</v>
      </c>
      <c r="E179" s="828"/>
      <c r="F179" s="828"/>
      <c r="G179" s="446" t="s">
        <v>293</v>
      </c>
      <c r="H179" s="830" t="s">
        <v>293</v>
      </c>
      <c r="I179" s="828"/>
      <c r="J179" s="828"/>
      <c r="K179" s="446" t="s">
        <v>316</v>
      </c>
      <c r="L179" s="830" t="s">
        <v>317</v>
      </c>
      <c r="M179" s="828"/>
      <c r="N179" s="446" t="s">
        <v>318</v>
      </c>
      <c r="O179" s="446" t="s">
        <v>293</v>
      </c>
      <c r="P179" s="446" t="s">
        <v>293</v>
      </c>
      <c r="Q179" s="841">
        <v>0</v>
      </c>
      <c r="R179" s="828"/>
      <c r="S179" s="841">
        <v>-7.5</v>
      </c>
      <c r="T179" s="828"/>
      <c r="U179" s="842">
        <v>990.64</v>
      </c>
      <c r="V179" s="828"/>
      <c r="W179" s="828"/>
      <c r="X179" s="828"/>
      <c r="Y179" s="828"/>
      <c r="Z179" s="445"/>
      <c r="AA179" s="445"/>
      <c r="AB179" s="445"/>
    </row>
    <row r="180" spans="1:28" ht="18" x14ac:dyDescent="0.25">
      <c r="A180" s="450" t="s">
        <v>761</v>
      </c>
      <c r="B180" s="446" t="s">
        <v>311</v>
      </c>
      <c r="C180" s="450" t="s">
        <v>897</v>
      </c>
      <c r="D180" s="840" t="s">
        <v>938</v>
      </c>
      <c r="E180" s="828"/>
      <c r="F180" s="828"/>
      <c r="G180" s="446" t="s">
        <v>505</v>
      </c>
      <c r="H180" s="830" t="s">
        <v>899</v>
      </c>
      <c r="I180" s="828"/>
      <c r="J180" s="828"/>
      <c r="K180" s="446" t="s">
        <v>316</v>
      </c>
      <c r="L180" s="830" t="s">
        <v>317</v>
      </c>
      <c r="M180" s="828"/>
      <c r="N180" s="446" t="s">
        <v>318</v>
      </c>
      <c r="O180" s="446" t="s">
        <v>293</v>
      </c>
      <c r="P180" s="446" t="s">
        <v>293</v>
      </c>
      <c r="Q180" s="841">
        <v>0.88</v>
      </c>
      <c r="R180" s="828"/>
      <c r="S180" s="841">
        <v>5.85</v>
      </c>
      <c r="T180" s="828"/>
      <c r="U180" s="842">
        <v>996.49</v>
      </c>
      <c r="V180" s="828"/>
      <c r="W180" s="828"/>
      <c r="X180" s="828"/>
      <c r="Y180" s="828"/>
      <c r="Z180" s="445"/>
      <c r="AA180" s="445"/>
      <c r="AB180" s="445"/>
    </row>
    <row r="181" spans="1:28" ht="18" x14ac:dyDescent="0.25">
      <c r="A181" s="450" t="s">
        <v>761</v>
      </c>
      <c r="B181" s="446" t="s">
        <v>311</v>
      </c>
      <c r="C181" s="450" t="s">
        <v>897</v>
      </c>
      <c r="D181" s="840" t="s">
        <v>939</v>
      </c>
      <c r="E181" s="828"/>
      <c r="F181" s="828"/>
      <c r="G181" s="446" t="s">
        <v>505</v>
      </c>
      <c r="H181" s="830" t="s">
        <v>899</v>
      </c>
      <c r="I181" s="828"/>
      <c r="J181" s="828"/>
      <c r="K181" s="446" t="s">
        <v>316</v>
      </c>
      <c r="L181" s="830" t="s">
        <v>317</v>
      </c>
      <c r="M181" s="828"/>
      <c r="N181" s="446" t="s">
        <v>318</v>
      </c>
      <c r="O181" s="446" t="s">
        <v>293</v>
      </c>
      <c r="P181" s="446" t="s">
        <v>293</v>
      </c>
      <c r="Q181" s="841">
        <v>0.87</v>
      </c>
      <c r="R181" s="828"/>
      <c r="S181" s="841">
        <v>5.85</v>
      </c>
      <c r="T181" s="828"/>
      <c r="U181" s="842">
        <v>1002.34</v>
      </c>
      <c r="V181" s="828"/>
      <c r="W181" s="828"/>
      <c r="X181" s="828"/>
      <c r="Y181" s="828"/>
      <c r="Z181" s="445"/>
      <c r="AA181" s="445"/>
      <c r="AB181" s="445"/>
    </row>
    <row r="182" spans="1:28" ht="18" x14ac:dyDescent="0.25">
      <c r="A182" s="450" t="s">
        <v>761</v>
      </c>
      <c r="B182" s="446" t="s">
        <v>311</v>
      </c>
      <c r="C182" s="450" t="s">
        <v>897</v>
      </c>
      <c r="D182" s="840" t="s">
        <v>903</v>
      </c>
      <c r="E182" s="828"/>
      <c r="F182" s="828"/>
      <c r="G182" s="446" t="s">
        <v>505</v>
      </c>
      <c r="H182" s="830" t="s">
        <v>899</v>
      </c>
      <c r="I182" s="828"/>
      <c r="J182" s="828"/>
      <c r="K182" s="446" t="s">
        <v>316</v>
      </c>
      <c r="L182" s="830" t="s">
        <v>317</v>
      </c>
      <c r="M182" s="828"/>
      <c r="N182" s="446" t="s">
        <v>318</v>
      </c>
      <c r="O182" s="446" t="s">
        <v>293</v>
      </c>
      <c r="P182" s="446" t="s">
        <v>293</v>
      </c>
      <c r="Q182" s="841">
        <v>7.5</v>
      </c>
      <c r="R182" s="828"/>
      <c r="S182" s="841">
        <v>50</v>
      </c>
      <c r="T182" s="828"/>
      <c r="U182" s="842">
        <v>1052.3399999999999</v>
      </c>
      <c r="V182" s="828"/>
      <c r="W182" s="828"/>
      <c r="X182" s="828"/>
      <c r="Y182" s="828"/>
      <c r="Z182" s="445"/>
      <c r="AA182" s="445"/>
      <c r="AB182" s="445" t="s">
        <v>940</v>
      </c>
    </row>
    <row r="183" spans="1:28" x14ac:dyDescent="0.25">
      <c r="A183" s="831" t="s">
        <v>293</v>
      </c>
      <c r="B183" s="828"/>
      <c r="C183" s="828"/>
      <c r="D183" s="828"/>
      <c r="E183" s="831" t="s">
        <v>590</v>
      </c>
      <c r="F183" s="828"/>
      <c r="G183" s="828"/>
      <c r="H183" s="831" t="s">
        <v>293</v>
      </c>
      <c r="I183" s="828"/>
      <c r="J183" s="828"/>
      <c r="K183" s="828"/>
      <c r="L183" s="828"/>
      <c r="M183" s="828"/>
      <c r="N183" s="449" t="s">
        <v>293</v>
      </c>
      <c r="O183" s="449" t="s">
        <v>293</v>
      </c>
      <c r="P183" s="449" t="s">
        <v>293</v>
      </c>
      <c r="Q183" s="843">
        <v>9.25</v>
      </c>
      <c r="R183" s="828"/>
      <c r="S183" s="843">
        <v>46.7</v>
      </c>
      <c r="T183" s="828"/>
      <c r="U183" s="843">
        <v>1052.3399999999999</v>
      </c>
      <c r="V183" s="828"/>
      <c r="W183" s="828"/>
      <c r="X183" s="828"/>
      <c r="Y183" s="828"/>
      <c r="Z183" s="445"/>
      <c r="AA183" s="445"/>
      <c r="AB183" s="445"/>
    </row>
    <row r="184" spans="1:28" ht="24" customHeight="1" x14ac:dyDescent="0.25">
      <c r="A184" s="833" t="s">
        <v>293</v>
      </c>
      <c r="B184" s="828"/>
      <c r="C184" s="828"/>
      <c r="D184" s="828"/>
      <c r="E184" s="828"/>
      <c r="F184" s="828"/>
      <c r="G184" s="828"/>
      <c r="H184" s="828"/>
      <c r="I184" s="828"/>
      <c r="J184" s="828"/>
      <c r="K184" s="828"/>
      <c r="L184" s="828"/>
      <c r="M184" s="828"/>
      <c r="N184" s="828"/>
      <c r="O184" s="828"/>
      <c r="P184" s="828"/>
      <c r="Q184" s="828"/>
      <c r="R184" s="828"/>
      <c r="S184" s="828"/>
      <c r="T184" s="828"/>
      <c r="U184" s="828"/>
      <c r="V184" s="828"/>
      <c r="W184" s="828"/>
      <c r="X184" s="828"/>
      <c r="Y184" s="828"/>
      <c r="Z184" s="445"/>
      <c r="AA184" s="445"/>
      <c r="AB184" s="445"/>
    </row>
    <row r="185" spans="1:28" ht="12" customHeight="1" x14ac:dyDescent="0.25">
      <c r="A185" s="831" t="s">
        <v>307</v>
      </c>
      <c r="B185" s="828"/>
      <c r="C185" s="449" t="s">
        <v>293</v>
      </c>
      <c r="D185" s="449" t="s">
        <v>398</v>
      </c>
      <c r="E185" s="831" t="s">
        <v>399</v>
      </c>
      <c r="F185" s="828"/>
      <c r="G185" s="828"/>
      <c r="H185" s="831" t="s">
        <v>293</v>
      </c>
      <c r="I185" s="828"/>
      <c r="J185" s="828"/>
      <c r="K185" s="828"/>
      <c r="L185" s="828"/>
      <c r="M185" s="828"/>
      <c r="N185" s="828"/>
      <c r="O185" s="828"/>
      <c r="P185" s="828"/>
      <c r="Q185" s="828"/>
      <c r="R185" s="828"/>
      <c r="S185" s="828"/>
      <c r="T185" s="828"/>
      <c r="U185" s="843">
        <v>7955.13</v>
      </c>
      <c r="V185" s="828"/>
      <c r="W185" s="828"/>
      <c r="X185" s="828"/>
      <c r="Y185" s="828"/>
      <c r="Z185" s="445"/>
      <c r="AA185" s="445"/>
      <c r="AB185" s="445"/>
    </row>
    <row r="186" spans="1:28" s="464" customFormat="1" ht="18" x14ac:dyDescent="0.25">
      <c r="A186" s="451" t="s">
        <v>703</v>
      </c>
      <c r="B186" s="452" t="s">
        <v>325</v>
      </c>
      <c r="C186" s="451" t="s">
        <v>941</v>
      </c>
      <c r="D186" s="844" t="s">
        <v>942</v>
      </c>
      <c r="E186" s="845"/>
      <c r="F186" s="845"/>
      <c r="G186" s="452" t="s">
        <v>293</v>
      </c>
      <c r="H186" s="846" t="s">
        <v>293</v>
      </c>
      <c r="I186" s="845"/>
      <c r="J186" s="845"/>
      <c r="K186" s="452" t="s">
        <v>316</v>
      </c>
      <c r="L186" s="846" t="s">
        <v>317</v>
      </c>
      <c r="M186" s="845"/>
      <c r="N186" s="452" t="s">
        <v>333</v>
      </c>
      <c r="O186" s="452" t="s">
        <v>293</v>
      </c>
      <c r="P186" s="452" t="s">
        <v>293</v>
      </c>
      <c r="Q186" s="847">
        <v>5.24</v>
      </c>
      <c r="R186" s="845"/>
      <c r="S186" s="847">
        <v>34.96</v>
      </c>
      <c r="T186" s="845"/>
      <c r="U186" s="848">
        <v>7990.09</v>
      </c>
      <c r="V186" s="845"/>
      <c r="W186" s="845"/>
      <c r="X186" s="845"/>
      <c r="Y186" s="845"/>
      <c r="Z186" s="453"/>
      <c r="AA186" s="453"/>
      <c r="AB186" s="453" t="s">
        <v>943</v>
      </c>
    </row>
    <row r="187" spans="1:28" s="464" customFormat="1" ht="18" x14ac:dyDescent="0.25">
      <c r="A187" s="451" t="s">
        <v>703</v>
      </c>
      <c r="B187" s="452" t="s">
        <v>325</v>
      </c>
      <c r="C187" s="451" t="s">
        <v>944</v>
      </c>
      <c r="D187" s="844" t="s">
        <v>945</v>
      </c>
      <c r="E187" s="845"/>
      <c r="F187" s="845"/>
      <c r="G187" s="452" t="s">
        <v>293</v>
      </c>
      <c r="H187" s="846" t="s">
        <v>293</v>
      </c>
      <c r="I187" s="845"/>
      <c r="J187" s="845"/>
      <c r="K187" s="452" t="s">
        <v>316</v>
      </c>
      <c r="L187" s="846" t="s">
        <v>317</v>
      </c>
      <c r="M187" s="845"/>
      <c r="N187" s="452" t="s">
        <v>333</v>
      </c>
      <c r="O187" s="452" t="s">
        <v>293</v>
      </c>
      <c r="P187" s="452" t="s">
        <v>293</v>
      </c>
      <c r="Q187" s="847">
        <v>6.65</v>
      </c>
      <c r="R187" s="845"/>
      <c r="S187" s="847">
        <v>44.35</v>
      </c>
      <c r="T187" s="845"/>
      <c r="U187" s="848">
        <v>8034.44</v>
      </c>
      <c r="V187" s="845"/>
      <c r="W187" s="845"/>
      <c r="X187" s="845"/>
      <c r="Y187" s="845"/>
      <c r="Z187" s="453"/>
      <c r="AA187" s="453"/>
      <c r="AB187" s="453" t="s">
        <v>946</v>
      </c>
    </row>
    <row r="188" spans="1:28" ht="18" x14ac:dyDescent="0.25">
      <c r="A188" s="450" t="s">
        <v>703</v>
      </c>
      <c r="B188" s="446" t="s">
        <v>325</v>
      </c>
      <c r="C188" s="450" t="s">
        <v>947</v>
      </c>
      <c r="D188" s="840" t="s">
        <v>948</v>
      </c>
      <c r="E188" s="828"/>
      <c r="F188" s="828"/>
      <c r="G188" s="446" t="s">
        <v>293</v>
      </c>
      <c r="H188" s="830" t="s">
        <v>293</v>
      </c>
      <c r="I188" s="828"/>
      <c r="J188" s="828"/>
      <c r="K188" s="446" t="s">
        <v>316</v>
      </c>
      <c r="L188" s="830" t="s">
        <v>317</v>
      </c>
      <c r="M188" s="828"/>
      <c r="N188" s="446" t="s">
        <v>318</v>
      </c>
      <c r="O188" s="446" t="s">
        <v>293</v>
      </c>
      <c r="P188" s="446" t="s">
        <v>293</v>
      </c>
      <c r="Q188" s="841">
        <v>11.06</v>
      </c>
      <c r="R188" s="828"/>
      <c r="S188" s="841">
        <v>73.739999999999995</v>
      </c>
      <c r="T188" s="828"/>
      <c r="U188" s="842">
        <v>8108.18</v>
      </c>
      <c r="V188" s="828"/>
      <c r="W188" s="828"/>
      <c r="X188" s="828"/>
      <c r="Y188" s="828"/>
      <c r="Z188" s="445"/>
      <c r="AA188" s="445"/>
      <c r="AB188" s="445"/>
    </row>
    <row r="189" spans="1:28" ht="18" x14ac:dyDescent="0.25">
      <c r="A189" s="450" t="s">
        <v>703</v>
      </c>
      <c r="B189" s="446" t="s">
        <v>325</v>
      </c>
      <c r="C189" s="450" t="s">
        <v>949</v>
      </c>
      <c r="D189" s="840" t="s">
        <v>599</v>
      </c>
      <c r="E189" s="828"/>
      <c r="F189" s="828"/>
      <c r="G189" s="446" t="s">
        <v>293</v>
      </c>
      <c r="H189" s="830" t="s">
        <v>293</v>
      </c>
      <c r="I189" s="828"/>
      <c r="J189" s="828"/>
      <c r="K189" s="446" t="s">
        <v>316</v>
      </c>
      <c r="L189" s="830" t="s">
        <v>317</v>
      </c>
      <c r="M189" s="828"/>
      <c r="N189" s="446" t="s">
        <v>318</v>
      </c>
      <c r="O189" s="446" t="s">
        <v>293</v>
      </c>
      <c r="P189" s="446" t="s">
        <v>293</v>
      </c>
      <c r="Q189" s="841">
        <v>10.8</v>
      </c>
      <c r="R189" s="828"/>
      <c r="S189" s="841">
        <v>72</v>
      </c>
      <c r="T189" s="828"/>
      <c r="U189" s="842">
        <v>8180.18</v>
      </c>
      <c r="V189" s="828"/>
      <c r="W189" s="828"/>
      <c r="X189" s="828"/>
      <c r="Y189" s="828"/>
      <c r="Z189" s="445"/>
      <c r="AA189" s="445"/>
      <c r="AB189" s="445"/>
    </row>
    <row r="190" spans="1:28" ht="18" x14ac:dyDescent="0.25">
      <c r="A190" s="450" t="s">
        <v>703</v>
      </c>
      <c r="B190" s="446" t="s">
        <v>325</v>
      </c>
      <c r="C190" s="450" t="s">
        <v>950</v>
      </c>
      <c r="D190" s="840" t="s">
        <v>601</v>
      </c>
      <c r="E190" s="828"/>
      <c r="F190" s="828"/>
      <c r="G190" s="446" t="s">
        <v>293</v>
      </c>
      <c r="H190" s="830" t="s">
        <v>293</v>
      </c>
      <c r="I190" s="828"/>
      <c r="J190" s="828"/>
      <c r="K190" s="446" t="s">
        <v>316</v>
      </c>
      <c r="L190" s="830" t="s">
        <v>317</v>
      </c>
      <c r="M190" s="828"/>
      <c r="N190" s="446" t="s">
        <v>318</v>
      </c>
      <c r="O190" s="446" t="s">
        <v>293</v>
      </c>
      <c r="P190" s="446" t="s">
        <v>293</v>
      </c>
      <c r="Q190" s="841">
        <v>5.74</v>
      </c>
      <c r="R190" s="828"/>
      <c r="S190" s="841">
        <v>38.26</v>
      </c>
      <c r="T190" s="828"/>
      <c r="U190" s="842">
        <v>8218.44</v>
      </c>
      <c r="V190" s="828"/>
      <c r="W190" s="828"/>
      <c r="X190" s="828"/>
      <c r="Y190" s="828"/>
      <c r="Z190" s="445"/>
      <c r="AA190" s="445"/>
      <c r="AB190" s="445"/>
    </row>
    <row r="191" spans="1:28" ht="18" x14ac:dyDescent="0.25">
      <c r="A191" s="450" t="s">
        <v>703</v>
      </c>
      <c r="B191" s="446" t="s">
        <v>325</v>
      </c>
      <c r="C191" s="450" t="s">
        <v>951</v>
      </c>
      <c r="D191" s="840" t="s">
        <v>599</v>
      </c>
      <c r="E191" s="828"/>
      <c r="F191" s="828"/>
      <c r="G191" s="446" t="s">
        <v>293</v>
      </c>
      <c r="H191" s="830" t="s">
        <v>293</v>
      </c>
      <c r="I191" s="828"/>
      <c r="J191" s="828"/>
      <c r="K191" s="446" t="s">
        <v>316</v>
      </c>
      <c r="L191" s="830" t="s">
        <v>317</v>
      </c>
      <c r="M191" s="828"/>
      <c r="N191" s="446" t="s">
        <v>318</v>
      </c>
      <c r="O191" s="446" t="s">
        <v>293</v>
      </c>
      <c r="P191" s="446" t="s">
        <v>293</v>
      </c>
      <c r="Q191" s="841">
        <v>11.32</v>
      </c>
      <c r="R191" s="828"/>
      <c r="S191" s="841">
        <v>75.48</v>
      </c>
      <c r="T191" s="828"/>
      <c r="U191" s="842">
        <v>8293.92</v>
      </c>
      <c r="V191" s="828"/>
      <c r="W191" s="828"/>
      <c r="X191" s="828"/>
      <c r="Y191" s="828"/>
      <c r="Z191" s="445"/>
      <c r="AA191" s="445"/>
      <c r="AB191" s="445"/>
    </row>
    <row r="192" spans="1:28" ht="18" x14ac:dyDescent="0.25">
      <c r="A192" s="450" t="s">
        <v>703</v>
      </c>
      <c r="B192" s="446" t="s">
        <v>325</v>
      </c>
      <c r="C192" s="450" t="s">
        <v>952</v>
      </c>
      <c r="D192" s="840" t="s">
        <v>601</v>
      </c>
      <c r="E192" s="828"/>
      <c r="F192" s="828"/>
      <c r="G192" s="446" t="s">
        <v>293</v>
      </c>
      <c r="H192" s="830" t="s">
        <v>293</v>
      </c>
      <c r="I192" s="828"/>
      <c r="J192" s="828"/>
      <c r="K192" s="446" t="s">
        <v>316</v>
      </c>
      <c r="L192" s="830" t="s">
        <v>317</v>
      </c>
      <c r="M192" s="828"/>
      <c r="N192" s="446" t="s">
        <v>318</v>
      </c>
      <c r="O192" s="446" t="s">
        <v>293</v>
      </c>
      <c r="P192" s="446" t="s">
        <v>293</v>
      </c>
      <c r="Q192" s="841">
        <v>5.18</v>
      </c>
      <c r="R192" s="828"/>
      <c r="S192" s="841">
        <v>34.520000000000003</v>
      </c>
      <c r="T192" s="828"/>
      <c r="U192" s="842">
        <v>8328.44</v>
      </c>
      <c r="V192" s="828"/>
      <c r="W192" s="828"/>
      <c r="X192" s="828"/>
      <c r="Y192" s="828"/>
      <c r="Z192" s="445"/>
      <c r="AA192" s="445"/>
      <c r="AB192" s="445"/>
    </row>
    <row r="193" spans="1:25" ht="18" x14ac:dyDescent="0.25">
      <c r="A193" s="450" t="s">
        <v>915</v>
      </c>
      <c r="B193" s="446" t="s">
        <v>325</v>
      </c>
      <c r="C193" s="450" t="s">
        <v>953</v>
      </c>
      <c r="D193" s="840" t="s">
        <v>954</v>
      </c>
      <c r="E193" s="828"/>
      <c r="F193" s="828"/>
      <c r="G193" s="446" t="s">
        <v>293</v>
      </c>
      <c r="H193" s="830" t="s">
        <v>293</v>
      </c>
      <c r="I193" s="828"/>
      <c r="J193" s="828"/>
      <c r="K193" s="446" t="s">
        <v>316</v>
      </c>
      <c r="L193" s="830" t="s">
        <v>317</v>
      </c>
      <c r="M193" s="828"/>
      <c r="N193" s="446" t="s">
        <v>318</v>
      </c>
      <c r="O193" s="446" t="s">
        <v>293</v>
      </c>
      <c r="P193" s="446" t="s">
        <v>293</v>
      </c>
      <c r="Q193" s="841">
        <v>6.04</v>
      </c>
      <c r="R193" s="828"/>
      <c r="S193" s="841">
        <v>40.26</v>
      </c>
      <c r="T193" s="828"/>
      <c r="U193" s="842">
        <v>8368.7000000000007</v>
      </c>
      <c r="V193" s="828"/>
      <c r="W193" s="828"/>
      <c r="X193" s="828"/>
      <c r="Y193" s="828"/>
    </row>
    <row r="194" spans="1:25" ht="18" x14ac:dyDescent="0.25">
      <c r="A194" s="450" t="s">
        <v>915</v>
      </c>
      <c r="B194" s="446" t="s">
        <v>325</v>
      </c>
      <c r="C194" s="450" t="s">
        <v>955</v>
      </c>
      <c r="D194" s="840" t="s">
        <v>599</v>
      </c>
      <c r="E194" s="828"/>
      <c r="F194" s="828"/>
      <c r="G194" s="446" t="s">
        <v>293</v>
      </c>
      <c r="H194" s="830" t="s">
        <v>293</v>
      </c>
      <c r="I194" s="828"/>
      <c r="J194" s="828"/>
      <c r="K194" s="446" t="s">
        <v>316</v>
      </c>
      <c r="L194" s="830" t="s">
        <v>317</v>
      </c>
      <c r="M194" s="828"/>
      <c r="N194" s="446" t="s">
        <v>318</v>
      </c>
      <c r="O194" s="446" t="s">
        <v>293</v>
      </c>
      <c r="P194" s="446" t="s">
        <v>293</v>
      </c>
      <c r="Q194" s="841">
        <v>11.3</v>
      </c>
      <c r="R194" s="828"/>
      <c r="S194" s="841">
        <v>75.3</v>
      </c>
      <c r="T194" s="828"/>
      <c r="U194" s="842">
        <v>8444</v>
      </c>
      <c r="V194" s="828"/>
      <c r="W194" s="828"/>
      <c r="X194" s="828"/>
      <c r="Y194" s="828"/>
    </row>
    <row r="195" spans="1:25" ht="18" x14ac:dyDescent="0.25">
      <c r="A195" s="450" t="s">
        <v>918</v>
      </c>
      <c r="B195" s="446" t="s">
        <v>325</v>
      </c>
      <c r="C195" s="450" t="s">
        <v>956</v>
      </c>
      <c r="D195" s="840" t="s">
        <v>599</v>
      </c>
      <c r="E195" s="828"/>
      <c r="F195" s="828"/>
      <c r="G195" s="446" t="s">
        <v>293</v>
      </c>
      <c r="H195" s="830" t="s">
        <v>293</v>
      </c>
      <c r="I195" s="828"/>
      <c r="J195" s="828"/>
      <c r="K195" s="446" t="s">
        <v>316</v>
      </c>
      <c r="L195" s="830" t="s">
        <v>317</v>
      </c>
      <c r="M195" s="828"/>
      <c r="N195" s="446" t="s">
        <v>318</v>
      </c>
      <c r="O195" s="446" t="s">
        <v>293</v>
      </c>
      <c r="P195" s="446" t="s">
        <v>293</v>
      </c>
      <c r="Q195" s="841">
        <v>10.85</v>
      </c>
      <c r="R195" s="828"/>
      <c r="S195" s="841">
        <v>72.349999999999994</v>
      </c>
      <c r="T195" s="828"/>
      <c r="U195" s="842">
        <v>8516.35</v>
      </c>
      <c r="V195" s="828"/>
      <c r="W195" s="828"/>
      <c r="X195" s="828"/>
      <c r="Y195" s="828"/>
    </row>
    <row r="196" spans="1:25" ht="18" x14ac:dyDescent="0.25">
      <c r="A196" s="450" t="s">
        <v>918</v>
      </c>
      <c r="B196" s="446" t="s">
        <v>325</v>
      </c>
      <c r="C196" s="450" t="s">
        <v>957</v>
      </c>
      <c r="D196" s="840" t="s">
        <v>601</v>
      </c>
      <c r="E196" s="828"/>
      <c r="F196" s="828"/>
      <c r="G196" s="446" t="s">
        <v>293</v>
      </c>
      <c r="H196" s="830" t="s">
        <v>293</v>
      </c>
      <c r="I196" s="828"/>
      <c r="J196" s="828"/>
      <c r="K196" s="446" t="s">
        <v>316</v>
      </c>
      <c r="L196" s="830" t="s">
        <v>317</v>
      </c>
      <c r="M196" s="828"/>
      <c r="N196" s="446" t="s">
        <v>318</v>
      </c>
      <c r="O196" s="446" t="s">
        <v>293</v>
      </c>
      <c r="P196" s="446" t="s">
        <v>293</v>
      </c>
      <c r="Q196" s="841">
        <v>5.67</v>
      </c>
      <c r="R196" s="828"/>
      <c r="S196" s="841">
        <v>37.83</v>
      </c>
      <c r="T196" s="828"/>
      <c r="U196" s="842">
        <v>8554.18</v>
      </c>
      <c r="V196" s="828"/>
      <c r="W196" s="828"/>
      <c r="X196" s="828"/>
      <c r="Y196" s="828"/>
    </row>
    <row r="197" spans="1:25" ht="18" x14ac:dyDescent="0.25">
      <c r="A197" s="450" t="s">
        <v>958</v>
      </c>
      <c r="B197" s="446" t="s">
        <v>325</v>
      </c>
      <c r="C197" s="450" t="s">
        <v>959</v>
      </c>
      <c r="D197" s="840" t="s">
        <v>601</v>
      </c>
      <c r="E197" s="828"/>
      <c r="F197" s="828"/>
      <c r="G197" s="446" t="s">
        <v>293</v>
      </c>
      <c r="H197" s="830" t="s">
        <v>293</v>
      </c>
      <c r="I197" s="828"/>
      <c r="J197" s="828"/>
      <c r="K197" s="446" t="s">
        <v>316</v>
      </c>
      <c r="L197" s="830" t="s">
        <v>317</v>
      </c>
      <c r="M197" s="828"/>
      <c r="N197" s="446" t="s">
        <v>318</v>
      </c>
      <c r="O197" s="446" t="s">
        <v>293</v>
      </c>
      <c r="P197" s="446" t="s">
        <v>293</v>
      </c>
      <c r="Q197" s="841">
        <v>1.66</v>
      </c>
      <c r="R197" s="828"/>
      <c r="S197" s="841">
        <v>11.04</v>
      </c>
      <c r="T197" s="828"/>
      <c r="U197" s="842">
        <v>8565.2199999999993</v>
      </c>
      <c r="V197" s="828"/>
      <c r="W197" s="828"/>
      <c r="X197" s="828"/>
      <c r="Y197" s="828"/>
    </row>
    <row r="198" spans="1:25" ht="18" x14ac:dyDescent="0.25">
      <c r="A198" s="450" t="s">
        <v>960</v>
      </c>
      <c r="B198" s="446" t="s">
        <v>325</v>
      </c>
      <c r="C198" s="450" t="s">
        <v>961</v>
      </c>
      <c r="D198" s="840" t="s">
        <v>599</v>
      </c>
      <c r="E198" s="828"/>
      <c r="F198" s="828"/>
      <c r="G198" s="446" t="s">
        <v>293</v>
      </c>
      <c r="H198" s="830" t="s">
        <v>293</v>
      </c>
      <c r="I198" s="828"/>
      <c r="J198" s="828"/>
      <c r="K198" s="446" t="s">
        <v>316</v>
      </c>
      <c r="L198" s="830" t="s">
        <v>317</v>
      </c>
      <c r="M198" s="828"/>
      <c r="N198" s="446" t="s">
        <v>318</v>
      </c>
      <c r="O198" s="446" t="s">
        <v>293</v>
      </c>
      <c r="P198" s="446" t="s">
        <v>293</v>
      </c>
      <c r="Q198" s="841">
        <v>11.06</v>
      </c>
      <c r="R198" s="828"/>
      <c r="S198" s="841">
        <v>73.739999999999995</v>
      </c>
      <c r="T198" s="828"/>
      <c r="U198" s="842">
        <v>8638.9599999999991</v>
      </c>
      <c r="V198" s="828"/>
      <c r="W198" s="828"/>
      <c r="X198" s="828"/>
      <c r="Y198" s="828"/>
    </row>
    <row r="199" spans="1:25" ht="18" x14ac:dyDescent="0.25">
      <c r="A199" s="450" t="s">
        <v>960</v>
      </c>
      <c r="B199" s="446" t="s">
        <v>325</v>
      </c>
      <c r="C199" s="450" t="s">
        <v>962</v>
      </c>
      <c r="D199" s="840" t="s">
        <v>601</v>
      </c>
      <c r="E199" s="828"/>
      <c r="F199" s="828"/>
      <c r="G199" s="446" t="s">
        <v>293</v>
      </c>
      <c r="H199" s="830" t="s">
        <v>293</v>
      </c>
      <c r="I199" s="828"/>
      <c r="J199" s="828"/>
      <c r="K199" s="446" t="s">
        <v>316</v>
      </c>
      <c r="L199" s="830" t="s">
        <v>317</v>
      </c>
      <c r="M199" s="828"/>
      <c r="N199" s="446" t="s">
        <v>318</v>
      </c>
      <c r="O199" s="446" t="s">
        <v>293</v>
      </c>
      <c r="P199" s="446" t="s">
        <v>293</v>
      </c>
      <c r="Q199" s="841">
        <v>5.74</v>
      </c>
      <c r="R199" s="828"/>
      <c r="S199" s="841">
        <v>38.26</v>
      </c>
      <c r="T199" s="828"/>
      <c r="U199" s="842">
        <v>8677.2199999999993</v>
      </c>
      <c r="V199" s="828"/>
      <c r="W199" s="828"/>
      <c r="X199" s="828"/>
      <c r="Y199" s="828"/>
    </row>
    <row r="200" spans="1:25" ht="18" x14ac:dyDescent="0.25">
      <c r="A200" s="450" t="s">
        <v>960</v>
      </c>
      <c r="B200" s="446" t="s">
        <v>325</v>
      </c>
      <c r="C200" s="450" t="s">
        <v>963</v>
      </c>
      <c r="D200" s="840" t="s">
        <v>609</v>
      </c>
      <c r="E200" s="828"/>
      <c r="F200" s="828"/>
      <c r="G200" s="446" t="s">
        <v>293</v>
      </c>
      <c r="H200" s="830" t="s">
        <v>293</v>
      </c>
      <c r="I200" s="828"/>
      <c r="J200" s="828"/>
      <c r="K200" s="446" t="s">
        <v>316</v>
      </c>
      <c r="L200" s="830" t="s">
        <v>411</v>
      </c>
      <c r="M200" s="828"/>
      <c r="N200" s="446" t="s">
        <v>318</v>
      </c>
      <c r="O200" s="446" t="s">
        <v>293</v>
      </c>
      <c r="P200" s="446" t="s">
        <v>293</v>
      </c>
      <c r="Q200" s="841">
        <v>1.86</v>
      </c>
      <c r="R200" s="828"/>
      <c r="S200" s="841">
        <v>12.4</v>
      </c>
      <c r="T200" s="828"/>
      <c r="U200" s="842">
        <v>8689.6200000000008</v>
      </c>
      <c r="V200" s="828"/>
      <c r="W200" s="828"/>
      <c r="X200" s="828"/>
      <c r="Y200" s="828"/>
    </row>
    <row r="201" spans="1:25" x14ac:dyDescent="0.25">
      <c r="A201" s="450" t="s">
        <v>711</v>
      </c>
      <c r="B201" s="446" t="s">
        <v>325</v>
      </c>
      <c r="C201" s="450" t="s">
        <v>964</v>
      </c>
      <c r="D201" s="840" t="s">
        <v>965</v>
      </c>
      <c r="E201" s="828"/>
      <c r="F201" s="828"/>
      <c r="G201" s="446" t="s">
        <v>966</v>
      </c>
      <c r="H201" s="830" t="s">
        <v>293</v>
      </c>
      <c r="I201" s="828"/>
      <c r="J201" s="828"/>
      <c r="K201" s="446" t="s">
        <v>316</v>
      </c>
      <c r="L201" s="830" t="s">
        <v>317</v>
      </c>
      <c r="M201" s="828"/>
      <c r="N201" s="446" t="s">
        <v>318</v>
      </c>
      <c r="O201" s="446" t="s">
        <v>293</v>
      </c>
      <c r="P201" s="446" t="s">
        <v>293</v>
      </c>
      <c r="Q201" s="841">
        <v>-1.86</v>
      </c>
      <c r="R201" s="828"/>
      <c r="S201" s="841">
        <v>-12.4</v>
      </c>
      <c r="T201" s="828"/>
      <c r="U201" s="842">
        <v>8677.2199999999993</v>
      </c>
      <c r="V201" s="828"/>
      <c r="W201" s="828"/>
      <c r="X201" s="828"/>
      <c r="Y201" s="828"/>
    </row>
    <row r="202" spans="1:25" ht="18" x14ac:dyDescent="0.25">
      <c r="A202" s="450" t="s">
        <v>739</v>
      </c>
      <c r="B202" s="446" t="s">
        <v>325</v>
      </c>
      <c r="C202" s="450" t="s">
        <v>967</v>
      </c>
      <c r="D202" s="840" t="s">
        <v>599</v>
      </c>
      <c r="E202" s="828"/>
      <c r="F202" s="828"/>
      <c r="G202" s="446" t="s">
        <v>293</v>
      </c>
      <c r="H202" s="830" t="s">
        <v>293</v>
      </c>
      <c r="I202" s="828"/>
      <c r="J202" s="828"/>
      <c r="K202" s="446" t="s">
        <v>316</v>
      </c>
      <c r="L202" s="830" t="s">
        <v>317</v>
      </c>
      <c r="M202" s="828"/>
      <c r="N202" s="446" t="s">
        <v>318</v>
      </c>
      <c r="O202" s="446" t="s">
        <v>293</v>
      </c>
      <c r="P202" s="446" t="s">
        <v>293</v>
      </c>
      <c r="Q202" s="841">
        <v>10.83</v>
      </c>
      <c r="R202" s="828"/>
      <c r="S202" s="841">
        <v>72.17</v>
      </c>
      <c r="T202" s="828"/>
      <c r="U202" s="842">
        <v>8749.39</v>
      </c>
      <c r="V202" s="828"/>
      <c r="W202" s="828"/>
      <c r="X202" s="828"/>
      <c r="Y202" s="828"/>
    </row>
    <row r="203" spans="1:25" ht="18" x14ac:dyDescent="0.25">
      <c r="A203" s="450" t="s">
        <v>739</v>
      </c>
      <c r="B203" s="446" t="s">
        <v>325</v>
      </c>
      <c r="C203" s="450" t="s">
        <v>968</v>
      </c>
      <c r="D203" s="840" t="s">
        <v>601</v>
      </c>
      <c r="E203" s="828"/>
      <c r="F203" s="828"/>
      <c r="G203" s="446" t="s">
        <v>293</v>
      </c>
      <c r="H203" s="830" t="s">
        <v>293</v>
      </c>
      <c r="I203" s="828"/>
      <c r="J203" s="828"/>
      <c r="K203" s="446" t="s">
        <v>316</v>
      </c>
      <c r="L203" s="830" t="s">
        <v>317</v>
      </c>
      <c r="M203" s="828"/>
      <c r="N203" s="446" t="s">
        <v>318</v>
      </c>
      <c r="O203" s="446" t="s">
        <v>293</v>
      </c>
      <c r="P203" s="446" t="s">
        <v>293</v>
      </c>
      <c r="Q203" s="841">
        <v>5.13</v>
      </c>
      <c r="R203" s="828"/>
      <c r="S203" s="841">
        <v>34.17</v>
      </c>
      <c r="T203" s="828"/>
      <c r="U203" s="842">
        <v>8783.56</v>
      </c>
      <c r="V203" s="828"/>
      <c r="W203" s="828"/>
      <c r="X203" s="828"/>
      <c r="Y203" s="828"/>
    </row>
    <row r="204" spans="1:25" ht="18" x14ac:dyDescent="0.25">
      <c r="A204" s="450" t="s">
        <v>739</v>
      </c>
      <c r="B204" s="446" t="s">
        <v>325</v>
      </c>
      <c r="C204" s="450" t="s">
        <v>969</v>
      </c>
      <c r="D204" s="840" t="s">
        <v>970</v>
      </c>
      <c r="E204" s="828"/>
      <c r="F204" s="828"/>
      <c r="G204" s="446" t="s">
        <v>293</v>
      </c>
      <c r="H204" s="830" t="s">
        <v>293</v>
      </c>
      <c r="I204" s="828"/>
      <c r="J204" s="828"/>
      <c r="K204" s="446" t="s">
        <v>316</v>
      </c>
      <c r="L204" s="830" t="s">
        <v>317</v>
      </c>
      <c r="M204" s="828"/>
      <c r="N204" s="446" t="s">
        <v>318</v>
      </c>
      <c r="O204" s="446" t="s">
        <v>293</v>
      </c>
      <c r="P204" s="446" t="s">
        <v>293</v>
      </c>
      <c r="Q204" s="841">
        <v>6.56</v>
      </c>
      <c r="R204" s="828"/>
      <c r="S204" s="841">
        <v>43.74</v>
      </c>
      <c r="T204" s="828"/>
      <c r="U204" s="842">
        <v>8827.2999999999993</v>
      </c>
      <c r="V204" s="828"/>
      <c r="W204" s="828"/>
      <c r="X204" s="828"/>
      <c r="Y204" s="828"/>
    </row>
    <row r="205" spans="1:25" ht="18" x14ac:dyDescent="0.25">
      <c r="A205" s="450" t="s">
        <v>739</v>
      </c>
      <c r="B205" s="446" t="s">
        <v>325</v>
      </c>
      <c r="C205" s="450" t="s">
        <v>971</v>
      </c>
      <c r="D205" s="840" t="s">
        <v>599</v>
      </c>
      <c r="E205" s="828"/>
      <c r="F205" s="828"/>
      <c r="G205" s="446" t="s">
        <v>293</v>
      </c>
      <c r="H205" s="830" t="s">
        <v>293</v>
      </c>
      <c r="I205" s="828"/>
      <c r="J205" s="828"/>
      <c r="K205" s="446" t="s">
        <v>316</v>
      </c>
      <c r="L205" s="830" t="s">
        <v>317</v>
      </c>
      <c r="M205" s="828"/>
      <c r="N205" s="446" t="s">
        <v>318</v>
      </c>
      <c r="O205" s="446" t="s">
        <v>293</v>
      </c>
      <c r="P205" s="446" t="s">
        <v>293</v>
      </c>
      <c r="Q205" s="841">
        <v>11.19</v>
      </c>
      <c r="R205" s="828"/>
      <c r="S205" s="841">
        <v>74.61</v>
      </c>
      <c r="T205" s="828"/>
      <c r="U205" s="842">
        <v>8901.91</v>
      </c>
      <c r="V205" s="828"/>
      <c r="W205" s="828"/>
      <c r="X205" s="828"/>
      <c r="Y205" s="828"/>
    </row>
    <row r="206" spans="1:25" x14ac:dyDescent="0.25">
      <c r="A206" s="831" t="s">
        <v>293</v>
      </c>
      <c r="B206" s="828"/>
      <c r="C206" s="828"/>
      <c r="D206" s="828"/>
      <c r="E206" s="831" t="s">
        <v>399</v>
      </c>
      <c r="F206" s="828"/>
      <c r="G206" s="828"/>
      <c r="H206" s="831" t="s">
        <v>293</v>
      </c>
      <c r="I206" s="828"/>
      <c r="J206" s="828"/>
      <c r="K206" s="828"/>
      <c r="L206" s="828"/>
      <c r="M206" s="828"/>
      <c r="N206" s="449" t="s">
        <v>293</v>
      </c>
      <c r="O206" s="449" t="s">
        <v>293</v>
      </c>
      <c r="P206" s="449" t="s">
        <v>293</v>
      </c>
      <c r="Q206" s="843">
        <v>142.02000000000001</v>
      </c>
      <c r="R206" s="828"/>
      <c r="S206" s="843">
        <v>946.78</v>
      </c>
      <c r="T206" s="828"/>
      <c r="U206" s="843">
        <v>8901.91</v>
      </c>
      <c r="V206" s="828"/>
      <c r="W206" s="828"/>
      <c r="X206" s="828"/>
      <c r="Y206" s="828"/>
    </row>
    <row r="207" spans="1:25" ht="24" customHeight="1" x14ac:dyDescent="0.25">
      <c r="A207" s="833" t="s">
        <v>293</v>
      </c>
      <c r="B207" s="828"/>
      <c r="C207" s="828"/>
      <c r="D207" s="828"/>
      <c r="E207" s="828"/>
      <c r="F207" s="828"/>
      <c r="G207" s="828"/>
      <c r="H207" s="828"/>
      <c r="I207" s="828"/>
      <c r="J207" s="828"/>
      <c r="K207" s="828"/>
      <c r="L207" s="828"/>
      <c r="M207" s="828"/>
      <c r="N207" s="828"/>
      <c r="O207" s="828"/>
      <c r="P207" s="828"/>
      <c r="Q207" s="828"/>
      <c r="R207" s="828"/>
      <c r="S207" s="828"/>
      <c r="T207" s="828"/>
      <c r="U207" s="828"/>
      <c r="V207" s="828"/>
      <c r="W207" s="828"/>
      <c r="X207" s="828"/>
      <c r="Y207" s="828"/>
    </row>
    <row r="208" spans="1:25" ht="12" customHeight="1" x14ac:dyDescent="0.25">
      <c r="A208" s="831" t="s">
        <v>307</v>
      </c>
      <c r="B208" s="828"/>
      <c r="C208" s="449" t="s">
        <v>293</v>
      </c>
      <c r="D208" s="449" t="s">
        <v>414</v>
      </c>
      <c r="E208" s="831" t="s">
        <v>415</v>
      </c>
      <c r="F208" s="828"/>
      <c r="G208" s="828"/>
      <c r="H208" s="831" t="s">
        <v>293</v>
      </c>
      <c r="I208" s="828"/>
      <c r="J208" s="828"/>
      <c r="K208" s="828"/>
      <c r="L208" s="828"/>
      <c r="M208" s="828"/>
      <c r="N208" s="828"/>
      <c r="O208" s="828"/>
      <c r="P208" s="828"/>
      <c r="Q208" s="828"/>
      <c r="R208" s="828"/>
      <c r="S208" s="828"/>
      <c r="T208" s="828"/>
      <c r="U208" s="843">
        <v>1654.48</v>
      </c>
      <c r="V208" s="828"/>
      <c r="W208" s="828"/>
      <c r="X208" s="828"/>
      <c r="Y208" s="828"/>
    </row>
    <row r="209" spans="1:28" ht="18" x14ac:dyDescent="0.25">
      <c r="A209" s="450" t="s">
        <v>703</v>
      </c>
      <c r="B209" s="446" t="s">
        <v>311</v>
      </c>
      <c r="C209" s="450" t="s">
        <v>878</v>
      </c>
      <c r="D209" s="840" t="s">
        <v>972</v>
      </c>
      <c r="E209" s="828"/>
      <c r="F209" s="828"/>
      <c r="G209" s="446" t="s">
        <v>505</v>
      </c>
      <c r="H209" s="830" t="s">
        <v>880</v>
      </c>
      <c r="I209" s="828"/>
      <c r="J209" s="828"/>
      <c r="K209" s="446" t="s">
        <v>316</v>
      </c>
      <c r="L209" s="830" t="s">
        <v>317</v>
      </c>
      <c r="M209" s="828"/>
      <c r="N209" s="446" t="s">
        <v>318</v>
      </c>
      <c r="O209" s="446" t="s">
        <v>293</v>
      </c>
      <c r="P209" s="446" t="s">
        <v>293</v>
      </c>
      <c r="Q209" s="841">
        <v>19.2</v>
      </c>
      <c r="R209" s="828"/>
      <c r="S209" s="841">
        <v>127.97</v>
      </c>
      <c r="T209" s="828"/>
      <c r="U209" s="842">
        <v>1782.45</v>
      </c>
      <c r="V209" s="828"/>
      <c r="W209" s="828"/>
      <c r="X209" s="828"/>
      <c r="Y209" s="828"/>
      <c r="Z209" s="445"/>
      <c r="AA209" s="445"/>
      <c r="AB209" s="445"/>
    </row>
    <row r="210" spans="1:28" x14ac:dyDescent="0.25">
      <c r="A210" s="450" t="s">
        <v>719</v>
      </c>
      <c r="B210" s="446" t="s">
        <v>325</v>
      </c>
      <c r="C210" s="450" t="s">
        <v>811</v>
      </c>
      <c r="D210" s="840" t="s">
        <v>866</v>
      </c>
      <c r="E210" s="828"/>
      <c r="F210" s="828"/>
      <c r="G210" s="446" t="s">
        <v>293</v>
      </c>
      <c r="H210" s="830" t="s">
        <v>293</v>
      </c>
      <c r="I210" s="828"/>
      <c r="J210" s="828"/>
      <c r="K210" s="446" t="s">
        <v>316</v>
      </c>
      <c r="L210" s="830" t="s">
        <v>317</v>
      </c>
      <c r="M210" s="828"/>
      <c r="N210" s="446" t="s">
        <v>318</v>
      </c>
      <c r="O210" s="446" t="s">
        <v>293</v>
      </c>
      <c r="P210" s="446" t="s">
        <v>293</v>
      </c>
      <c r="Q210" s="841">
        <v>0</v>
      </c>
      <c r="R210" s="828"/>
      <c r="S210" s="841">
        <v>-119.47</v>
      </c>
      <c r="T210" s="828"/>
      <c r="U210" s="842">
        <v>1662.98</v>
      </c>
      <c r="V210" s="828"/>
      <c r="W210" s="828"/>
      <c r="X210" s="828"/>
      <c r="Y210" s="828"/>
      <c r="Z210" s="445"/>
      <c r="AA210" s="445"/>
      <c r="AB210" s="445"/>
    </row>
    <row r="211" spans="1:28" s="464" customFormat="1" ht="18" x14ac:dyDescent="0.25">
      <c r="A211" s="451" t="s">
        <v>761</v>
      </c>
      <c r="B211" s="452" t="s">
        <v>325</v>
      </c>
      <c r="C211" s="451" t="s">
        <v>973</v>
      </c>
      <c r="D211" s="844" t="s">
        <v>974</v>
      </c>
      <c r="E211" s="845"/>
      <c r="F211" s="845"/>
      <c r="G211" s="452" t="s">
        <v>293</v>
      </c>
      <c r="H211" s="846" t="s">
        <v>293</v>
      </c>
      <c r="I211" s="845"/>
      <c r="J211" s="845"/>
      <c r="K211" s="452" t="s">
        <v>316</v>
      </c>
      <c r="L211" s="846" t="s">
        <v>317</v>
      </c>
      <c r="M211" s="845"/>
      <c r="N211" s="452" t="s">
        <v>318</v>
      </c>
      <c r="O211" s="452" t="s">
        <v>293</v>
      </c>
      <c r="P211" s="452" t="s">
        <v>293</v>
      </c>
      <c r="Q211" s="847">
        <v>0.78</v>
      </c>
      <c r="R211" s="845"/>
      <c r="S211" s="847">
        <v>5.22</v>
      </c>
      <c r="T211" s="845"/>
      <c r="U211" s="848">
        <v>1668.2</v>
      </c>
      <c r="V211" s="845"/>
      <c r="W211" s="845"/>
      <c r="X211" s="845"/>
      <c r="Y211" s="845"/>
      <c r="Z211" s="453"/>
      <c r="AA211" s="453"/>
      <c r="AB211" s="453" t="s">
        <v>975</v>
      </c>
    </row>
    <row r="212" spans="1:28" s="464" customFormat="1" ht="18" x14ac:dyDescent="0.25">
      <c r="A212" s="451" t="s">
        <v>761</v>
      </c>
      <c r="B212" s="452" t="s">
        <v>325</v>
      </c>
      <c r="C212" s="451" t="s">
        <v>976</v>
      </c>
      <c r="D212" s="844" t="s">
        <v>977</v>
      </c>
      <c r="E212" s="845"/>
      <c r="F212" s="845"/>
      <c r="G212" s="452" t="s">
        <v>293</v>
      </c>
      <c r="H212" s="846" t="s">
        <v>293</v>
      </c>
      <c r="I212" s="845"/>
      <c r="J212" s="845"/>
      <c r="K212" s="452" t="s">
        <v>316</v>
      </c>
      <c r="L212" s="846" t="s">
        <v>317</v>
      </c>
      <c r="M212" s="845"/>
      <c r="N212" s="452" t="s">
        <v>318</v>
      </c>
      <c r="O212" s="452" t="s">
        <v>293</v>
      </c>
      <c r="P212" s="452" t="s">
        <v>293</v>
      </c>
      <c r="Q212" s="847">
        <v>1.37</v>
      </c>
      <c r="R212" s="845"/>
      <c r="S212" s="847">
        <v>9.1300000000000008</v>
      </c>
      <c r="T212" s="845"/>
      <c r="U212" s="848">
        <v>1677.33</v>
      </c>
      <c r="V212" s="845"/>
      <c r="W212" s="845"/>
      <c r="X212" s="845"/>
      <c r="Y212" s="845"/>
      <c r="Z212" s="453"/>
      <c r="AA212" s="453"/>
      <c r="AB212" s="453" t="s">
        <v>978</v>
      </c>
    </row>
    <row r="213" spans="1:28" s="464" customFormat="1" ht="18" x14ac:dyDescent="0.25">
      <c r="A213" s="451" t="s">
        <v>761</v>
      </c>
      <c r="B213" s="452" t="s">
        <v>325</v>
      </c>
      <c r="C213" s="451" t="s">
        <v>979</v>
      </c>
      <c r="D213" s="844" t="s">
        <v>977</v>
      </c>
      <c r="E213" s="845"/>
      <c r="F213" s="845"/>
      <c r="G213" s="452" t="s">
        <v>293</v>
      </c>
      <c r="H213" s="846" t="s">
        <v>293</v>
      </c>
      <c r="I213" s="845"/>
      <c r="J213" s="845"/>
      <c r="K213" s="452" t="s">
        <v>316</v>
      </c>
      <c r="L213" s="846" t="s">
        <v>317</v>
      </c>
      <c r="M213" s="845"/>
      <c r="N213" s="452" t="s">
        <v>318</v>
      </c>
      <c r="O213" s="452" t="s">
        <v>293</v>
      </c>
      <c r="P213" s="452" t="s">
        <v>293</v>
      </c>
      <c r="Q213" s="847">
        <v>6.6</v>
      </c>
      <c r="R213" s="845"/>
      <c r="S213" s="847">
        <v>44</v>
      </c>
      <c r="T213" s="845"/>
      <c r="U213" s="848">
        <v>1721.33</v>
      </c>
      <c r="V213" s="845"/>
      <c r="W213" s="845"/>
      <c r="X213" s="845"/>
      <c r="Y213" s="845"/>
      <c r="Z213" s="453"/>
      <c r="AA213" s="453"/>
      <c r="AB213" s="453" t="s">
        <v>975</v>
      </c>
    </row>
    <row r="214" spans="1:28" s="464" customFormat="1" ht="18" x14ac:dyDescent="0.25">
      <c r="A214" s="451" t="s">
        <v>820</v>
      </c>
      <c r="B214" s="452" t="s">
        <v>325</v>
      </c>
      <c r="C214" s="451" t="s">
        <v>980</v>
      </c>
      <c r="D214" s="844" t="s">
        <v>981</v>
      </c>
      <c r="E214" s="845"/>
      <c r="F214" s="845"/>
      <c r="G214" s="452" t="s">
        <v>293</v>
      </c>
      <c r="H214" s="846" t="s">
        <v>293</v>
      </c>
      <c r="I214" s="845"/>
      <c r="J214" s="845"/>
      <c r="K214" s="452" t="s">
        <v>316</v>
      </c>
      <c r="L214" s="846" t="s">
        <v>317</v>
      </c>
      <c r="M214" s="845"/>
      <c r="N214" s="452" t="s">
        <v>318</v>
      </c>
      <c r="O214" s="452" t="s">
        <v>293</v>
      </c>
      <c r="P214" s="452" t="s">
        <v>293</v>
      </c>
      <c r="Q214" s="847">
        <v>5.87</v>
      </c>
      <c r="R214" s="845"/>
      <c r="S214" s="847">
        <v>39.130000000000003</v>
      </c>
      <c r="T214" s="845"/>
      <c r="U214" s="848">
        <v>1760.46</v>
      </c>
      <c r="V214" s="845"/>
      <c r="W214" s="845"/>
      <c r="X214" s="845"/>
      <c r="Y214" s="845"/>
      <c r="Z214" s="453"/>
      <c r="AA214" s="453"/>
      <c r="AB214" s="453" t="s">
        <v>982</v>
      </c>
    </row>
    <row r="215" spans="1:28" x14ac:dyDescent="0.25">
      <c r="A215" s="831" t="s">
        <v>293</v>
      </c>
      <c r="B215" s="828"/>
      <c r="C215" s="828"/>
      <c r="D215" s="828"/>
      <c r="E215" s="831" t="s">
        <v>415</v>
      </c>
      <c r="F215" s="828"/>
      <c r="G215" s="828"/>
      <c r="H215" s="831" t="s">
        <v>293</v>
      </c>
      <c r="I215" s="828"/>
      <c r="J215" s="828"/>
      <c r="K215" s="828"/>
      <c r="L215" s="828"/>
      <c r="M215" s="828"/>
      <c r="N215" s="449" t="s">
        <v>293</v>
      </c>
      <c r="O215" s="449" t="s">
        <v>293</v>
      </c>
      <c r="P215" s="449" t="s">
        <v>293</v>
      </c>
      <c r="Q215" s="843">
        <v>33.82</v>
      </c>
      <c r="R215" s="828"/>
      <c r="S215" s="843">
        <v>105.98</v>
      </c>
      <c r="T215" s="828"/>
      <c r="U215" s="843">
        <v>1760.46</v>
      </c>
      <c r="V215" s="828"/>
      <c r="W215" s="828"/>
      <c r="X215" s="828"/>
      <c r="Y215" s="828"/>
      <c r="Z215" s="445"/>
      <c r="AA215" s="445"/>
      <c r="AB215" s="445"/>
    </row>
    <row r="216" spans="1:28" ht="24" customHeight="1" x14ac:dyDescent="0.25">
      <c r="A216" s="833" t="s">
        <v>293</v>
      </c>
      <c r="B216" s="828"/>
      <c r="C216" s="828"/>
      <c r="D216" s="828"/>
      <c r="E216" s="828"/>
      <c r="F216" s="828"/>
      <c r="G216" s="828"/>
      <c r="H216" s="828"/>
      <c r="I216" s="828"/>
      <c r="J216" s="828"/>
      <c r="K216" s="828"/>
      <c r="L216" s="828"/>
      <c r="M216" s="828"/>
      <c r="N216" s="828"/>
      <c r="O216" s="828"/>
      <c r="P216" s="828"/>
      <c r="Q216" s="828"/>
      <c r="R216" s="828"/>
      <c r="S216" s="828"/>
      <c r="T216" s="828"/>
      <c r="U216" s="828"/>
      <c r="V216" s="828"/>
      <c r="W216" s="828"/>
      <c r="X216" s="828"/>
      <c r="Y216" s="828"/>
      <c r="Z216" s="445"/>
      <c r="AA216" s="445"/>
      <c r="AB216" s="445"/>
    </row>
    <row r="217" spans="1:28" ht="12" customHeight="1" x14ac:dyDescent="0.25">
      <c r="A217" s="831" t="s">
        <v>307</v>
      </c>
      <c r="B217" s="828"/>
      <c r="C217" s="449" t="s">
        <v>293</v>
      </c>
      <c r="D217" s="449" t="s">
        <v>423</v>
      </c>
      <c r="E217" s="831" t="s">
        <v>424</v>
      </c>
      <c r="F217" s="828"/>
      <c r="G217" s="828"/>
      <c r="H217" s="831" t="s">
        <v>293</v>
      </c>
      <c r="I217" s="828"/>
      <c r="J217" s="828"/>
      <c r="K217" s="828"/>
      <c r="L217" s="828"/>
      <c r="M217" s="828"/>
      <c r="N217" s="828"/>
      <c r="O217" s="828"/>
      <c r="P217" s="828"/>
      <c r="Q217" s="828"/>
      <c r="R217" s="828"/>
      <c r="S217" s="828"/>
      <c r="T217" s="828"/>
      <c r="U217" s="843">
        <v>7266.62</v>
      </c>
      <c r="V217" s="828"/>
      <c r="W217" s="828"/>
      <c r="X217" s="828"/>
      <c r="Y217" s="828"/>
      <c r="Z217" s="445"/>
      <c r="AA217" s="445"/>
      <c r="AB217" s="445"/>
    </row>
    <row r="218" spans="1:28" ht="18" x14ac:dyDescent="0.25">
      <c r="A218" s="450" t="s">
        <v>703</v>
      </c>
      <c r="B218" s="446" t="s">
        <v>751</v>
      </c>
      <c r="C218" s="450" t="s">
        <v>875</v>
      </c>
      <c r="D218" s="840" t="s">
        <v>983</v>
      </c>
      <c r="E218" s="828"/>
      <c r="F218" s="828"/>
      <c r="G218" s="446" t="s">
        <v>505</v>
      </c>
      <c r="H218" s="830" t="s">
        <v>877</v>
      </c>
      <c r="I218" s="828"/>
      <c r="J218" s="828"/>
      <c r="K218" s="446" t="s">
        <v>316</v>
      </c>
      <c r="L218" s="830" t="s">
        <v>317</v>
      </c>
      <c r="M218" s="828"/>
      <c r="N218" s="446" t="s">
        <v>318</v>
      </c>
      <c r="O218" s="446" t="s">
        <v>293</v>
      </c>
      <c r="P218" s="446" t="s">
        <v>293</v>
      </c>
      <c r="Q218" s="841">
        <v>0</v>
      </c>
      <c r="R218" s="828"/>
      <c r="S218" s="841">
        <v>200</v>
      </c>
      <c r="T218" s="828"/>
      <c r="U218" s="842">
        <v>7466.62</v>
      </c>
      <c r="V218" s="828"/>
      <c r="W218" s="828"/>
      <c r="X218" s="828"/>
      <c r="Y218" s="828"/>
      <c r="Z218" s="445"/>
      <c r="AA218" s="445"/>
      <c r="AB218" s="445"/>
    </row>
    <row r="219" spans="1:28" ht="18" x14ac:dyDescent="0.25">
      <c r="A219" s="450" t="s">
        <v>703</v>
      </c>
      <c r="B219" s="446" t="s">
        <v>751</v>
      </c>
      <c r="C219" s="450" t="s">
        <v>875</v>
      </c>
      <c r="D219" s="840" t="s">
        <v>983</v>
      </c>
      <c r="E219" s="828"/>
      <c r="F219" s="828"/>
      <c r="G219" s="446" t="s">
        <v>505</v>
      </c>
      <c r="H219" s="830" t="s">
        <v>877</v>
      </c>
      <c r="I219" s="828"/>
      <c r="J219" s="828"/>
      <c r="K219" s="446" t="s">
        <v>316</v>
      </c>
      <c r="L219" s="830" t="s">
        <v>317</v>
      </c>
      <c r="M219" s="828"/>
      <c r="N219" s="446" t="s">
        <v>318</v>
      </c>
      <c r="O219" s="446" t="s">
        <v>293</v>
      </c>
      <c r="P219" s="446" t="s">
        <v>293</v>
      </c>
      <c r="Q219" s="841">
        <v>0</v>
      </c>
      <c r="R219" s="828"/>
      <c r="S219" s="841">
        <v>8050.03</v>
      </c>
      <c r="T219" s="828"/>
      <c r="U219" s="842">
        <v>15516.65</v>
      </c>
      <c r="V219" s="828"/>
      <c r="W219" s="828"/>
      <c r="X219" s="828"/>
      <c r="Y219" s="828"/>
      <c r="Z219" s="445"/>
      <c r="AA219" s="445"/>
      <c r="AB219" s="445"/>
    </row>
    <row r="220" spans="1:28" ht="18" x14ac:dyDescent="0.25">
      <c r="A220" s="450" t="s">
        <v>703</v>
      </c>
      <c r="B220" s="446" t="s">
        <v>751</v>
      </c>
      <c r="C220" s="450" t="s">
        <v>875</v>
      </c>
      <c r="D220" s="840" t="s">
        <v>983</v>
      </c>
      <c r="E220" s="828"/>
      <c r="F220" s="828"/>
      <c r="G220" s="446" t="s">
        <v>505</v>
      </c>
      <c r="H220" s="830" t="s">
        <v>877</v>
      </c>
      <c r="I220" s="828"/>
      <c r="J220" s="828"/>
      <c r="K220" s="446" t="s">
        <v>316</v>
      </c>
      <c r="L220" s="830" t="s">
        <v>317</v>
      </c>
      <c r="M220" s="828"/>
      <c r="N220" s="446" t="s">
        <v>318</v>
      </c>
      <c r="O220" s="446" t="s">
        <v>293</v>
      </c>
      <c r="P220" s="446" t="s">
        <v>293</v>
      </c>
      <c r="Q220" s="841">
        <v>0</v>
      </c>
      <c r="R220" s="828"/>
      <c r="S220" s="841">
        <v>-8050.03</v>
      </c>
      <c r="T220" s="828"/>
      <c r="U220" s="842">
        <v>7466.62</v>
      </c>
      <c r="V220" s="828"/>
      <c r="W220" s="828"/>
      <c r="X220" s="828"/>
      <c r="Y220" s="828"/>
      <c r="Z220" s="445"/>
      <c r="AA220" s="445"/>
      <c r="AB220" s="445"/>
    </row>
    <row r="221" spans="1:28" ht="18" x14ac:dyDescent="0.25">
      <c r="A221" s="450" t="s">
        <v>857</v>
      </c>
      <c r="B221" s="446" t="s">
        <v>751</v>
      </c>
      <c r="C221" s="450" t="s">
        <v>858</v>
      </c>
      <c r="D221" s="840" t="s">
        <v>984</v>
      </c>
      <c r="E221" s="828"/>
      <c r="F221" s="828"/>
      <c r="G221" s="446" t="s">
        <v>505</v>
      </c>
      <c r="H221" s="830" t="s">
        <v>860</v>
      </c>
      <c r="I221" s="828"/>
      <c r="J221" s="828"/>
      <c r="K221" s="446" t="s">
        <v>316</v>
      </c>
      <c r="L221" s="830" t="s">
        <v>317</v>
      </c>
      <c r="M221" s="828"/>
      <c r="N221" s="446" t="s">
        <v>318</v>
      </c>
      <c r="O221" s="446" t="s">
        <v>293</v>
      </c>
      <c r="P221" s="446" t="s">
        <v>293</v>
      </c>
      <c r="Q221" s="841">
        <v>0</v>
      </c>
      <c r="R221" s="828"/>
      <c r="S221" s="841">
        <v>-524.03</v>
      </c>
      <c r="T221" s="828"/>
      <c r="U221" s="842">
        <v>6942.59</v>
      </c>
      <c r="V221" s="828"/>
      <c r="W221" s="828"/>
      <c r="X221" s="828"/>
      <c r="Y221" s="828"/>
      <c r="Z221" s="445"/>
      <c r="AA221" s="445"/>
      <c r="AB221" s="445"/>
    </row>
    <row r="222" spans="1:28" ht="18" x14ac:dyDescent="0.25">
      <c r="A222" s="450" t="s">
        <v>857</v>
      </c>
      <c r="B222" s="446" t="s">
        <v>751</v>
      </c>
      <c r="C222" s="450" t="s">
        <v>858</v>
      </c>
      <c r="D222" s="840" t="s">
        <v>985</v>
      </c>
      <c r="E222" s="828"/>
      <c r="F222" s="828"/>
      <c r="G222" s="446" t="s">
        <v>505</v>
      </c>
      <c r="H222" s="830" t="s">
        <v>860</v>
      </c>
      <c r="I222" s="828"/>
      <c r="J222" s="828"/>
      <c r="K222" s="446" t="s">
        <v>316</v>
      </c>
      <c r="L222" s="830" t="s">
        <v>317</v>
      </c>
      <c r="M222" s="828"/>
      <c r="N222" s="446" t="s">
        <v>318</v>
      </c>
      <c r="O222" s="446" t="s">
        <v>293</v>
      </c>
      <c r="P222" s="446" t="s">
        <v>293</v>
      </c>
      <c r="Q222" s="841">
        <v>0</v>
      </c>
      <c r="R222" s="828"/>
      <c r="S222" s="841">
        <v>-7726</v>
      </c>
      <c r="T222" s="828"/>
      <c r="U222" s="842">
        <v>-783.41</v>
      </c>
      <c r="V222" s="828"/>
      <c r="W222" s="828"/>
      <c r="X222" s="828"/>
      <c r="Y222" s="828"/>
      <c r="Z222" s="445"/>
      <c r="AA222" s="445"/>
      <c r="AB222" s="445"/>
    </row>
    <row r="223" spans="1:28" x14ac:dyDescent="0.25">
      <c r="A223" s="450" t="s">
        <v>719</v>
      </c>
      <c r="B223" s="446" t="s">
        <v>325</v>
      </c>
      <c r="C223" s="450" t="s">
        <v>811</v>
      </c>
      <c r="D223" s="840" t="s">
        <v>887</v>
      </c>
      <c r="E223" s="828"/>
      <c r="F223" s="828"/>
      <c r="G223" s="446" t="s">
        <v>293</v>
      </c>
      <c r="H223" s="830" t="s">
        <v>293</v>
      </c>
      <c r="I223" s="828"/>
      <c r="J223" s="828"/>
      <c r="K223" s="446" t="s">
        <v>316</v>
      </c>
      <c r="L223" s="830" t="s">
        <v>317</v>
      </c>
      <c r="M223" s="828"/>
      <c r="N223" s="446" t="s">
        <v>318</v>
      </c>
      <c r="O223" s="446" t="s">
        <v>293</v>
      </c>
      <c r="P223" s="446" t="s">
        <v>293</v>
      </c>
      <c r="Q223" s="841">
        <v>0</v>
      </c>
      <c r="R223" s="828"/>
      <c r="S223" s="841">
        <v>-8050.03</v>
      </c>
      <c r="T223" s="828"/>
      <c r="U223" s="842">
        <v>-8833.44</v>
      </c>
      <c r="V223" s="828"/>
      <c r="W223" s="828"/>
      <c r="X223" s="828"/>
      <c r="Y223" s="828"/>
      <c r="Z223" s="445"/>
      <c r="AA223" s="445"/>
      <c r="AB223" s="445"/>
    </row>
    <row r="224" spans="1:28" x14ac:dyDescent="0.25">
      <c r="A224" s="450" t="s">
        <v>719</v>
      </c>
      <c r="B224" s="446" t="s">
        <v>325</v>
      </c>
      <c r="C224" s="450" t="s">
        <v>811</v>
      </c>
      <c r="D224" s="840" t="s">
        <v>887</v>
      </c>
      <c r="E224" s="828"/>
      <c r="F224" s="828"/>
      <c r="G224" s="446" t="s">
        <v>293</v>
      </c>
      <c r="H224" s="830" t="s">
        <v>293</v>
      </c>
      <c r="I224" s="828"/>
      <c r="J224" s="828"/>
      <c r="K224" s="446" t="s">
        <v>316</v>
      </c>
      <c r="L224" s="830" t="s">
        <v>317</v>
      </c>
      <c r="M224" s="828"/>
      <c r="N224" s="446" t="s">
        <v>318</v>
      </c>
      <c r="O224" s="446" t="s">
        <v>293</v>
      </c>
      <c r="P224" s="446" t="s">
        <v>293</v>
      </c>
      <c r="Q224" s="841">
        <v>0</v>
      </c>
      <c r="R224" s="828"/>
      <c r="S224" s="841">
        <v>8050.03</v>
      </c>
      <c r="T224" s="828"/>
      <c r="U224" s="842">
        <v>-783.41</v>
      </c>
      <c r="V224" s="828"/>
      <c r="W224" s="828"/>
      <c r="X224" s="828"/>
      <c r="Y224" s="828"/>
      <c r="Z224" s="445"/>
      <c r="AA224" s="445"/>
      <c r="AB224" s="445"/>
    </row>
    <row r="225" spans="1:25" x14ac:dyDescent="0.25">
      <c r="A225" s="450" t="s">
        <v>719</v>
      </c>
      <c r="B225" s="446" t="s">
        <v>325</v>
      </c>
      <c r="C225" s="450" t="s">
        <v>811</v>
      </c>
      <c r="D225" s="840" t="s">
        <v>887</v>
      </c>
      <c r="E225" s="828"/>
      <c r="F225" s="828"/>
      <c r="G225" s="446" t="s">
        <v>293</v>
      </c>
      <c r="H225" s="830" t="s">
        <v>293</v>
      </c>
      <c r="I225" s="828"/>
      <c r="J225" s="828"/>
      <c r="K225" s="446" t="s">
        <v>316</v>
      </c>
      <c r="L225" s="830" t="s">
        <v>317</v>
      </c>
      <c r="M225" s="828"/>
      <c r="N225" s="446" t="s">
        <v>318</v>
      </c>
      <c r="O225" s="446" t="s">
        <v>293</v>
      </c>
      <c r="P225" s="446" t="s">
        <v>293</v>
      </c>
      <c r="Q225" s="841">
        <v>0</v>
      </c>
      <c r="R225" s="828"/>
      <c r="S225" s="841">
        <v>-200</v>
      </c>
      <c r="T225" s="828"/>
      <c r="U225" s="842">
        <v>-983.41</v>
      </c>
      <c r="V225" s="828"/>
      <c r="W225" s="828"/>
      <c r="X225" s="828"/>
      <c r="Y225" s="828"/>
    </row>
    <row r="226" spans="1:25" x14ac:dyDescent="0.25">
      <c r="A226" s="831" t="s">
        <v>293</v>
      </c>
      <c r="B226" s="828"/>
      <c r="C226" s="828"/>
      <c r="D226" s="828"/>
      <c r="E226" s="831" t="s">
        <v>424</v>
      </c>
      <c r="F226" s="828"/>
      <c r="G226" s="828"/>
      <c r="H226" s="831" t="s">
        <v>293</v>
      </c>
      <c r="I226" s="828"/>
      <c r="J226" s="828"/>
      <c r="K226" s="828"/>
      <c r="L226" s="828"/>
      <c r="M226" s="828"/>
      <c r="N226" s="449" t="s">
        <v>293</v>
      </c>
      <c r="O226" s="449" t="s">
        <v>293</v>
      </c>
      <c r="P226" s="449" t="s">
        <v>293</v>
      </c>
      <c r="Q226" s="843">
        <v>0</v>
      </c>
      <c r="R226" s="828"/>
      <c r="S226" s="843">
        <v>-8250.0300000000007</v>
      </c>
      <c r="T226" s="828"/>
      <c r="U226" s="843">
        <v>-983.41</v>
      </c>
      <c r="V226" s="828"/>
      <c r="W226" s="828"/>
      <c r="X226" s="828"/>
      <c r="Y226" s="828"/>
    </row>
    <row r="227" spans="1:25" ht="24" customHeight="1" x14ac:dyDescent="0.25">
      <c r="A227" s="833" t="s">
        <v>293</v>
      </c>
      <c r="B227" s="828"/>
      <c r="C227" s="828"/>
      <c r="D227" s="828"/>
      <c r="E227" s="828"/>
      <c r="F227" s="828"/>
      <c r="G227" s="828"/>
      <c r="H227" s="828"/>
      <c r="I227" s="828"/>
      <c r="J227" s="828"/>
      <c r="K227" s="828"/>
      <c r="L227" s="828"/>
      <c r="M227" s="828"/>
      <c r="N227" s="828"/>
      <c r="O227" s="828"/>
      <c r="P227" s="828"/>
      <c r="Q227" s="828"/>
      <c r="R227" s="828"/>
      <c r="S227" s="828"/>
      <c r="T227" s="828"/>
      <c r="U227" s="828"/>
      <c r="V227" s="828"/>
      <c r="W227" s="828"/>
      <c r="X227" s="828"/>
      <c r="Y227" s="828"/>
    </row>
    <row r="228" spans="1:25" ht="12" customHeight="1" x14ac:dyDescent="0.25">
      <c r="A228" s="831" t="s">
        <v>307</v>
      </c>
      <c r="B228" s="828"/>
      <c r="C228" s="449" t="s">
        <v>293</v>
      </c>
      <c r="D228" s="449" t="s">
        <v>425</v>
      </c>
      <c r="E228" s="831" t="s">
        <v>426</v>
      </c>
      <c r="F228" s="828"/>
      <c r="G228" s="828"/>
      <c r="H228" s="831" t="s">
        <v>293</v>
      </c>
      <c r="I228" s="828"/>
      <c r="J228" s="828"/>
      <c r="K228" s="828"/>
      <c r="L228" s="828"/>
      <c r="M228" s="828"/>
      <c r="N228" s="828"/>
      <c r="O228" s="828"/>
      <c r="P228" s="828"/>
      <c r="Q228" s="828"/>
      <c r="R228" s="828"/>
      <c r="S228" s="828"/>
      <c r="T228" s="828"/>
      <c r="U228" s="843">
        <v>3318.16</v>
      </c>
      <c r="V228" s="828"/>
      <c r="W228" s="828"/>
      <c r="X228" s="828"/>
      <c r="Y228" s="828"/>
    </row>
    <row r="229" spans="1:25" x14ac:dyDescent="0.25">
      <c r="A229" s="450" t="s">
        <v>703</v>
      </c>
      <c r="B229" s="446" t="s">
        <v>311</v>
      </c>
      <c r="C229" s="450" t="s">
        <v>986</v>
      </c>
      <c r="D229" s="840" t="s">
        <v>987</v>
      </c>
      <c r="E229" s="828"/>
      <c r="F229" s="828"/>
      <c r="G229" s="446" t="s">
        <v>430</v>
      </c>
      <c r="H229" s="830" t="s">
        <v>988</v>
      </c>
      <c r="I229" s="828"/>
      <c r="J229" s="828"/>
      <c r="K229" s="446" t="s">
        <v>316</v>
      </c>
      <c r="L229" s="830" t="s">
        <v>317</v>
      </c>
      <c r="M229" s="828"/>
      <c r="N229" s="446" t="s">
        <v>318</v>
      </c>
      <c r="O229" s="446" t="s">
        <v>293</v>
      </c>
      <c r="P229" s="446" t="s">
        <v>293</v>
      </c>
      <c r="Q229" s="841">
        <v>5.25</v>
      </c>
      <c r="R229" s="828"/>
      <c r="S229" s="841">
        <v>35</v>
      </c>
      <c r="T229" s="828"/>
      <c r="U229" s="842">
        <v>3353.16</v>
      </c>
      <c r="V229" s="828"/>
      <c r="W229" s="828"/>
      <c r="X229" s="828"/>
      <c r="Y229" s="828"/>
    </row>
    <row r="230" spans="1:25" x14ac:dyDescent="0.25">
      <c r="A230" s="450" t="s">
        <v>761</v>
      </c>
      <c r="B230" s="446" t="s">
        <v>311</v>
      </c>
      <c r="C230" s="450" t="s">
        <v>989</v>
      </c>
      <c r="D230" s="840" t="s">
        <v>990</v>
      </c>
      <c r="E230" s="828"/>
      <c r="F230" s="828"/>
      <c r="G230" s="446" t="s">
        <v>430</v>
      </c>
      <c r="H230" s="830" t="s">
        <v>991</v>
      </c>
      <c r="I230" s="828"/>
      <c r="J230" s="828"/>
      <c r="K230" s="446" t="s">
        <v>316</v>
      </c>
      <c r="L230" s="830" t="s">
        <v>317</v>
      </c>
      <c r="M230" s="828"/>
      <c r="N230" s="446" t="s">
        <v>318</v>
      </c>
      <c r="O230" s="446" t="s">
        <v>293</v>
      </c>
      <c r="P230" s="446" t="s">
        <v>293</v>
      </c>
      <c r="Q230" s="841">
        <v>3.94</v>
      </c>
      <c r="R230" s="828"/>
      <c r="S230" s="841">
        <v>26.25</v>
      </c>
      <c r="T230" s="828"/>
      <c r="U230" s="842">
        <v>3379.41</v>
      </c>
      <c r="V230" s="828"/>
      <c r="W230" s="828"/>
      <c r="X230" s="828"/>
      <c r="Y230" s="828"/>
    </row>
    <row r="231" spans="1:25" x14ac:dyDescent="0.25">
      <c r="A231" s="831" t="s">
        <v>293</v>
      </c>
      <c r="B231" s="828"/>
      <c r="C231" s="828"/>
      <c r="D231" s="828"/>
      <c r="E231" s="831" t="s">
        <v>426</v>
      </c>
      <c r="F231" s="828"/>
      <c r="G231" s="828"/>
      <c r="H231" s="831" t="s">
        <v>293</v>
      </c>
      <c r="I231" s="828"/>
      <c r="J231" s="828"/>
      <c r="K231" s="828"/>
      <c r="L231" s="828"/>
      <c r="M231" s="828"/>
      <c r="N231" s="449" t="s">
        <v>293</v>
      </c>
      <c r="O231" s="449" t="s">
        <v>293</v>
      </c>
      <c r="P231" s="449" t="s">
        <v>293</v>
      </c>
      <c r="Q231" s="843">
        <v>9.19</v>
      </c>
      <c r="R231" s="828"/>
      <c r="S231" s="843">
        <v>61.25</v>
      </c>
      <c r="T231" s="828"/>
      <c r="U231" s="843">
        <v>3379.41</v>
      </c>
      <c r="V231" s="828"/>
      <c r="W231" s="828"/>
      <c r="X231" s="828"/>
      <c r="Y231" s="828"/>
    </row>
    <row r="232" spans="1:25" ht="24" customHeight="1" x14ac:dyDescent="0.25">
      <c r="A232" s="833" t="s">
        <v>293</v>
      </c>
      <c r="B232" s="828"/>
      <c r="C232" s="828"/>
      <c r="D232" s="828"/>
      <c r="E232" s="828"/>
      <c r="F232" s="828"/>
      <c r="G232" s="828"/>
      <c r="H232" s="828"/>
      <c r="I232" s="828"/>
      <c r="J232" s="828"/>
      <c r="K232" s="828"/>
      <c r="L232" s="828"/>
      <c r="M232" s="828"/>
      <c r="N232" s="828"/>
      <c r="O232" s="828"/>
      <c r="P232" s="828"/>
      <c r="Q232" s="828"/>
      <c r="R232" s="828"/>
      <c r="S232" s="828"/>
      <c r="T232" s="828"/>
      <c r="U232" s="828"/>
      <c r="V232" s="828"/>
      <c r="W232" s="828"/>
      <c r="X232" s="828"/>
      <c r="Y232" s="828"/>
    </row>
    <row r="233" spans="1:25" ht="12" customHeight="1" x14ac:dyDescent="0.25">
      <c r="A233" s="831" t="s">
        <v>307</v>
      </c>
      <c r="B233" s="828"/>
      <c r="C233" s="449" t="s">
        <v>293</v>
      </c>
      <c r="D233" s="449" t="s">
        <v>662</v>
      </c>
      <c r="E233" s="831" t="s">
        <v>663</v>
      </c>
      <c r="F233" s="828"/>
      <c r="G233" s="828"/>
      <c r="H233" s="831" t="s">
        <v>293</v>
      </c>
      <c r="I233" s="828"/>
      <c r="J233" s="828"/>
      <c r="K233" s="828"/>
      <c r="L233" s="828"/>
      <c r="M233" s="828"/>
      <c r="N233" s="828"/>
      <c r="O233" s="828"/>
      <c r="P233" s="828"/>
      <c r="Q233" s="828"/>
      <c r="R233" s="828"/>
      <c r="S233" s="828"/>
      <c r="T233" s="828"/>
      <c r="U233" s="843">
        <v>547.54999999999995</v>
      </c>
      <c r="V233" s="828"/>
      <c r="W233" s="828"/>
      <c r="X233" s="828"/>
      <c r="Y233" s="828"/>
    </row>
    <row r="234" spans="1:25" x14ac:dyDescent="0.25">
      <c r="A234" s="450" t="s">
        <v>719</v>
      </c>
      <c r="B234" s="446" t="s">
        <v>311</v>
      </c>
      <c r="C234" s="450" t="s">
        <v>992</v>
      </c>
      <c r="D234" s="840" t="s">
        <v>993</v>
      </c>
      <c r="E234" s="828"/>
      <c r="F234" s="828"/>
      <c r="G234" s="446" t="s">
        <v>994</v>
      </c>
      <c r="H234" s="830" t="s">
        <v>995</v>
      </c>
      <c r="I234" s="828"/>
      <c r="J234" s="828"/>
      <c r="K234" s="446" t="s">
        <v>316</v>
      </c>
      <c r="L234" s="830" t="s">
        <v>317</v>
      </c>
      <c r="M234" s="828"/>
      <c r="N234" s="446" t="s">
        <v>318</v>
      </c>
      <c r="O234" s="446" t="s">
        <v>293</v>
      </c>
      <c r="P234" s="446" t="s">
        <v>293</v>
      </c>
      <c r="Q234" s="841">
        <v>1.1599999999999999</v>
      </c>
      <c r="R234" s="828"/>
      <c r="S234" s="841">
        <v>7.74</v>
      </c>
      <c r="T234" s="828"/>
      <c r="U234" s="842">
        <v>555.29</v>
      </c>
      <c r="V234" s="828"/>
      <c r="W234" s="828"/>
      <c r="X234" s="828"/>
      <c r="Y234" s="828"/>
    </row>
    <row r="235" spans="1:25" x14ac:dyDescent="0.25">
      <c r="A235" s="450" t="s">
        <v>719</v>
      </c>
      <c r="B235" s="446" t="s">
        <v>311</v>
      </c>
      <c r="C235" s="450" t="s">
        <v>996</v>
      </c>
      <c r="D235" s="840" t="s">
        <v>997</v>
      </c>
      <c r="E235" s="828"/>
      <c r="F235" s="828"/>
      <c r="G235" s="446" t="s">
        <v>994</v>
      </c>
      <c r="H235" s="830" t="s">
        <v>998</v>
      </c>
      <c r="I235" s="828"/>
      <c r="J235" s="828"/>
      <c r="K235" s="446" t="s">
        <v>316</v>
      </c>
      <c r="L235" s="830" t="s">
        <v>317</v>
      </c>
      <c r="M235" s="828"/>
      <c r="N235" s="446" t="s">
        <v>318</v>
      </c>
      <c r="O235" s="446" t="s">
        <v>293</v>
      </c>
      <c r="P235" s="446" t="s">
        <v>293</v>
      </c>
      <c r="Q235" s="841">
        <v>1.1000000000000001</v>
      </c>
      <c r="R235" s="828"/>
      <c r="S235" s="841">
        <v>7.3</v>
      </c>
      <c r="T235" s="828"/>
      <c r="U235" s="842">
        <v>562.59</v>
      </c>
      <c r="V235" s="828"/>
      <c r="W235" s="828"/>
      <c r="X235" s="828"/>
      <c r="Y235" s="828"/>
    </row>
    <row r="236" spans="1:25" x14ac:dyDescent="0.25">
      <c r="A236" s="450" t="s">
        <v>999</v>
      </c>
      <c r="B236" s="446" t="s">
        <v>311</v>
      </c>
      <c r="C236" s="450" t="s">
        <v>1000</v>
      </c>
      <c r="D236" s="840" t="s">
        <v>1001</v>
      </c>
      <c r="E236" s="828"/>
      <c r="F236" s="828"/>
      <c r="G236" s="446" t="s">
        <v>481</v>
      </c>
      <c r="H236" s="830" t="s">
        <v>1002</v>
      </c>
      <c r="I236" s="828"/>
      <c r="J236" s="828"/>
      <c r="K236" s="446" t="s">
        <v>316</v>
      </c>
      <c r="L236" s="830" t="s">
        <v>317</v>
      </c>
      <c r="M236" s="828"/>
      <c r="N236" s="446" t="s">
        <v>318</v>
      </c>
      <c r="O236" s="446" t="s">
        <v>293</v>
      </c>
      <c r="P236" s="446" t="s">
        <v>293</v>
      </c>
      <c r="Q236" s="841">
        <v>8.48</v>
      </c>
      <c r="R236" s="828"/>
      <c r="S236" s="841">
        <v>56.52</v>
      </c>
      <c r="T236" s="828"/>
      <c r="U236" s="842">
        <v>619.11</v>
      </c>
      <c r="V236" s="828"/>
      <c r="W236" s="828"/>
      <c r="X236" s="828"/>
      <c r="Y236" s="828"/>
    </row>
    <row r="237" spans="1:25" x14ac:dyDescent="0.25">
      <c r="A237" s="450" t="s">
        <v>1003</v>
      </c>
      <c r="B237" s="446" t="s">
        <v>311</v>
      </c>
      <c r="C237" s="450" t="s">
        <v>1004</v>
      </c>
      <c r="D237" s="840" t="s">
        <v>1005</v>
      </c>
      <c r="E237" s="828"/>
      <c r="F237" s="828"/>
      <c r="G237" s="446" t="s">
        <v>994</v>
      </c>
      <c r="H237" s="830" t="s">
        <v>1006</v>
      </c>
      <c r="I237" s="828"/>
      <c r="J237" s="828"/>
      <c r="K237" s="446" t="s">
        <v>316</v>
      </c>
      <c r="L237" s="830" t="s">
        <v>317</v>
      </c>
      <c r="M237" s="828"/>
      <c r="N237" s="446" t="s">
        <v>318</v>
      </c>
      <c r="O237" s="446" t="s">
        <v>293</v>
      </c>
      <c r="P237" s="446" t="s">
        <v>293</v>
      </c>
      <c r="Q237" s="841">
        <v>1.8</v>
      </c>
      <c r="R237" s="828"/>
      <c r="S237" s="841">
        <v>12</v>
      </c>
      <c r="T237" s="828"/>
      <c r="U237" s="842">
        <v>631.11</v>
      </c>
      <c r="V237" s="828"/>
      <c r="W237" s="828"/>
      <c r="X237" s="828"/>
      <c r="Y237" s="828"/>
    </row>
    <row r="238" spans="1:25" ht="18" x14ac:dyDescent="0.25">
      <c r="A238" s="450" t="s">
        <v>934</v>
      </c>
      <c r="B238" s="446" t="s">
        <v>325</v>
      </c>
      <c r="C238" s="450" t="s">
        <v>1007</v>
      </c>
      <c r="D238" s="840" t="s">
        <v>1008</v>
      </c>
      <c r="E238" s="828"/>
      <c r="F238" s="828"/>
      <c r="G238" s="446" t="s">
        <v>293</v>
      </c>
      <c r="H238" s="830" t="s">
        <v>293</v>
      </c>
      <c r="I238" s="828"/>
      <c r="J238" s="828"/>
      <c r="K238" s="446" t="s">
        <v>316</v>
      </c>
      <c r="L238" s="830" t="s">
        <v>317</v>
      </c>
      <c r="M238" s="828"/>
      <c r="N238" s="446" t="s">
        <v>318</v>
      </c>
      <c r="O238" s="446" t="s">
        <v>293</v>
      </c>
      <c r="P238" s="446" t="s">
        <v>293</v>
      </c>
      <c r="Q238" s="841">
        <v>7.04</v>
      </c>
      <c r="R238" s="828"/>
      <c r="S238" s="841">
        <v>46.96</v>
      </c>
      <c r="T238" s="828"/>
      <c r="U238" s="842">
        <v>678.07</v>
      </c>
      <c r="V238" s="828"/>
      <c r="W238" s="828"/>
      <c r="X238" s="828"/>
      <c r="Y238" s="828"/>
    </row>
    <row r="239" spans="1:25" x14ac:dyDescent="0.25">
      <c r="A239" s="450" t="s">
        <v>1009</v>
      </c>
      <c r="B239" s="446" t="s">
        <v>311</v>
      </c>
      <c r="C239" s="450" t="s">
        <v>1010</v>
      </c>
      <c r="D239" s="840" t="s">
        <v>663</v>
      </c>
      <c r="E239" s="828"/>
      <c r="F239" s="828"/>
      <c r="G239" s="446" t="s">
        <v>481</v>
      </c>
      <c r="H239" s="830" t="s">
        <v>1011</v>
      </c>
      <c r="I239" s="828"/>
      <c r="J239" s="828"/>
      <c r="K239" s="446" t="s">
        <v>316</v>
      </c>
      <c r="L239" s="830" t="s">
        <v>317</v>
      </c>
      <c r="M239" s="828"/>
      <c r="N239" s="446" t="s">
        <v>318</v>
      </c>
      <c r="O239" s="446" t="s">
        <v>293</v>
      </c>
      <c r="P239" s="446" t="s">
        <v>293</v>
      </c>
      <c r="Q239" s="841">
        <v>9.7799999999999994</v>
      </c>
      <c r="R239" s="828"/>
      <c r="S239" s="841">
        <v>65.22</v>
      </c>
      <c r="T239" s="828"/>
      <c r="U239" s="842">
        <v>743.29</v>
      </c>
      <c r="V239" s="828"/>
      <c r="W239" s="828"/>
      <c r="X239" s="828"/>
      <c r="Y239" s="828"/>
    </row>
    <row r="240" spans="1:25" x14ac:dyDescent="0.25">
      <c r="A240" s="831" t="s">
        <v>293</v>
      </c>
      <c r="B240" s="828"/>
      <c r="C240" s="828"/>
      <c r="D240" s="828"/>
      <c r="E240" s="831" t="s">
        <v>663</v>
      </c>
      <c r="F240" s="828"/>
      <c r="G240" s="828"/>
      <c r="H240" s="831" t="s">
        <v>293</v>
      </c>
      <c r="I240" s="828"/>
      <c r="J240" s="828"/>
      <c r="K240" s="828"/>
      <c r="L240" s="828"/>
      <c r="M240" s="828"/>
      <c r="N240" s="449" t="s">
        <v>293</v>
      </c>
      <c r="O240" s="449" t="s">
        <v>293</v>
      </c>
      <c r="P240" s="449" t="s">
        <v>293</v>
      </c>
      <c r="Q240" s="843">
        <v>29.36</v>
      </c>
      <c r="R240" s="828"/>
      <c r="S240" s="843">
        <v>195.74</v>
      </c>
      <c r="T240" s="828"/>
      <c r="U240" s="843">
        <v>743.29</v>
      </c>
      <c r="V240" s="828"/>
      <c r="W240" s="828"/>
      <c r="X240" s="828"/>
      <c r="Y240" s="828"/>
    </row>
    <row r="241" spans="1:28" ht="24" customHeight="1" x14ac:dyDescent="0.25">
      <c r="A241" s="833" t="s">
        <v>293</v>
      </c>
      <c r="B241" s="828"/>
      <c r="C241" s="828"/>
      <c r="D241" s="828"/>
      <c r="E241" s="828"/>
      <c r="F241" s="828"/>
      <c r="G241" s="828"/>
      <c r="H241" s="828"/>
      <c r="I241" s="828"/>
      <c r="J241" s="828"/>
      <c r="K241" s="828"/>
      <c r="L241" s="828"/>
      <c r="M241" s="828"/>
      <c r="N241" s="828"/>
      <c r="O241" s="828"/>
      <c r="P241" s="828"/>
      <c r="Q241" s="828"/>
      <c r="R241" s="828"/>
      <c r="S241" s="828"/>
      <c r="T241" s="828"/>
      <c r="U241" s="828"/>
      <c r="V241" s="828"/>
      <c r="W241" s="828"/>
      <c r="X241" s="828"/>
      <c r="Y241" s="828"/>
      <c r="Z241" s="445"/>
      <c r="AA241" s="445"/>
      <c r="AB241" s="445"/>
    </row>
    <row r="242" spans="1:28" ht="12" customHeight="1" x14ac:dyDescent="0.25">
      <c r="A242" s="831" t="s">
        <v>307</v>
      </c>
      <c r="B242" s="828"/>
      <c r="C242" s="449" t="s">
        <v>293</v>
      </c>
      <c r="D242" s="449" t="s">
        <v>437</v>
      </c>
      <c r="E242" s="831" t="s">
        <v>438</v>
      </c>
      <c r="F242" s="828"/>
      <c r="G242" s="828"/>
      <c r="H242" s="831" t="s">
        <v>293</v>
      </c>
      <c r="I242" s="828"/>
      <c r="J242" s="828"/>
      <c r="K242" s="828"/>
      <c r="L242" s="828"/>
      <c r="M242" s="828"/>
      <c r="N242" s="828"/>
      <c r="O242" s="828"/>
      <c r="P242" s="828"/>
      <c r="Q242" s="828"/>
      <c r="R242" s="828"/>
      <c r="S242" s="828"/>
      <c r="T242" s="828"/>
      <c r="U242" s="843">
        <v>1035723.79</v>
      </c>
      <c r="V242" s="828"/>
      <c r="W242" s="828"/>
      <c r="X242" s="828"/>
      <c r="Y242" s="828"/>
      <c r="Z242" s="445"/>
      <c r="AA242" s="445"/>
      <c r="AB242" s="445"/>
    </row>
    <row r="243" spans="1:28" ht="18" x14ac:dyDescent="0.25">
      <c r="A243" s="450" t="s">
        <v>730</v>
      </c>
      <c r="B243" s="446" t="s">
        <v>325</v>
      </c>
      <c r="C243" s="450" t="s">
        <v>923</v>
      </c>
      <c r="D243" s="840" t="s">
        <v>1012</v>
      </c>
      <c r="E243" s="828"/>
      <c r="F243" s="828"/>
      <c r="G243" s="446" t="s">
        <v>293</v>
      </c>
      <c r="H243" s="830" t="s">
        <v>293</v>
      </c>
      <c r="I243" s="828"/>
      <c r="J243" s="828"/>
      <c r="K243" s="446" t="s">
        <v>316</v>
      </c>
      <c r="L243" s="830" t="s">
        <v>1013</v>
      </c>
      <c r="M243" s="828"/>
      <c r="N243" s="446" t="s">
        <v>1014</v>
      </c>
      <c r="O243" s="446" t="s">
        <v>293</v>
      </c>
      <c r="P243" s="446" t="s">
        <v>293</v>
      </c>
      <c r="Q243" s="841">
        <v>0</v>
      </c>
      <c r="R243" s="828"/>
      <c r="S243" s="841">
        <v>23430</v>
      </c>
      <c r="T243" s="828"/>
      <c r="U243" s="842">
        <v>1059153.79</v>
      </c>
      <c r="V243" s="828"/>
      <c r="W243" s="828"/>
      <c r="X243" s="828"/>
      <c r="Y243" s="828"/>
      <c r="Z243" s="445"/>
      <c r="AA243" s="445"/>
      <c r="AB243" s="445"/>
    </row>
    <row r="244" spans="1:28" x14ac:dyDescent="0.25">
      <c r="A244" s="450" t="s">
        <v>730</v>
      </c>
      <c r="B244" s="446" t="s">
        <v>325</v>
      </c>
      <c r="C244" s="450" t="s">
        <v>923</v>
      </c>
      <c r="D244" s="840" t="s">
        <v>1015</v>
      </c>
      <c r="E244" s="828"/>
      <c r="F244" s="828"/>
      <c r="G244" s="446" t="s">
        <v>293</v>
      </c>
      <c r="H244" s="830" t="s">
        <v>293</v>
      </c>
      <c r="I244" s="828"/>
      <c r="J244" s="828"/>
      <c r="K244" s="446" t="s">
        <v>316</v>
      </c>
      <c r="L244" s="830" t="s">
        <v>317</v>
      </c>
      <c r="M244" s="828"/>
      <c r="N244" s="446" t="s">
        <v>1016</v>
      </c>
      <c r="O244" s="446" t="s">
        <v>293</v>
      </c>
      <c r="P244" s="446" t="s">
        <v>293</v>
      </c>
      <c r="Q244" s="841">
        <v>0</v>
      </c>
      <c r="R244" s="828"/>
      <c r="S244" s="841">
        <v>46360</v>
      </c>
      <c r="T244" s="828"/>
      <c r="U244" s="842">
        <v>1105513.79</v>
      </c>
      <c r="V244" s="828"/>
      <c r="W244" s="828"/>
      <c r="X244" s="828"/>
      <c r="Y244" s="828"/>
      <c r="Z244" s="445"/>
      <c r="AA244" s="445"/>
      <c r="AB244" s="445"/>
    </row>
    <row r="245" spans="1:28" ht="18" x14ac:dyDescent="0.25">
      <c r="A245" s="450" t="s">
        <v>735</v>
      </c>
      <c r="B245" s="446" t="s">
        <v>325</v>
      </c>
      <c r="C245" s="450" t="s">
        <v>926</v>
      </c>
      <c r="D245" s="840" t="s">
        <v>1017</v>
      </c>
      <c r="E245" s="828"/>
      <c r="F245" s="828"/>
      <c r="G245" s="446" t="s">
        <v>293</v>
      </c>
      <c r="H245" s="830" t="s">
        <v>293</v>
      </c>
      <c r="I245" s="828"/>
      <c r="J245" s="828"/>
      <c r="K245" s="446" t="s">
        <v>316</v>
      </c>
      <c r="L245" s="830" t="s">
        <v>1013</v>
      </c>
      <c r="M245" s="828"/>
      <c r="N245" s="446" t="s">
        <v>1014</v>
      </c>
      <c r="O245" s="446" t="s">
        <v>293</v>
      </c>
      <c r="P245" s="446" t="s">
        <v>293</v>
      </c>
      <c r="Q245" s="841">
        <v>0</v>
      </c>
      <c r="R245" s="828"/>
      <c r="S245" s="841">
        <v>-23430</v>
      </c>
      <c r="T245" s="828"/>
      <c r="U245" s="842">
        <v>1082083.79</v>
      </c>
      <c r="V245" s="828"/>
      <c r="W245" s="828"/>
      <c r="X245" s="828"/>
      <c r="Y245" s="828"/>
      <c r="Z245" s="445"/>
      <c r="AA245" s="445"/>
      <c r="AB245" s="445"/>
    </row>
    <row r="246" spans="1:28" x14ac:dyDescent="0.25">
      <c r="A246" s="450" t="s">
        <v>735</v>
      </c>
      <c r="B246" s="446" t="s">
        <v>325</v>
      </c>
      <c r="C246" s="450" t="s">
        <v>926</v>
      </c>
      <c r="D246" s="840" t="s">
        <v>1018</v>
      </c>
      <c r="E246" s="828"/>
      <c r="F246" s="828"/>
      <c r="G246" s="446" t="s">
        <v>293</v>
      </c>
      <c r="H246" s="830" t="s">
        <v>293</v>
      </c>
      <c r="I246" s="828"/>
      <c r="J246" s="828"/>
      <c r="K246" s="446" t="s">
        <v>316</v>
      </c>
      <c r="L246" s="830" t="s">
        <v>317</v>
      </c>
      <c r="M246" s="828"/>
      <c r="N246" s="446" t="s">
        <v>1016</v>
      </c>
      <c r="O246" s="446" t="s">
        <v>293</v>
      </c>
      <c r="P246" s="446" t="s">
        <v>293</v>
      </c>
      <c r="Q246" s="841">
        <v>0</v>
      </c>
      <c r="R246" s="828"/>
      <c r="S246" s="841">
        <v>-46360</v>
      </c>
      <c r="T246" s="828"/>
      <c r="U246" s="842">
        <v>1035723.79</v>
      </c>
      <c r="V246" s="828"/>
      <c r="W246" s="828"/>
      <c r="X246" s="828"/>
      <c r="Y246" s="828"/>
      <c r="Z246" s="445"/>
      <c r="AA246" s="445"/>
      <c r="AB246" s="445"/>
    </row>
    <row r="247" spans="1:28" x14ac:dyDescent="0.25">
      <c r="A247" s="831" t="s">
        <v>293</v>
      </c>
      <c r="B247" s="828"/>
      <c r="C247" s="828"/>
      <c r="D247" s="828"/>
      <c r="E247" s="831" t="s">
        <v>438</v>
      </c>
      <c r="F247" s="828"/>
      <c r="G247" s="828"/>
      <c r="H247" s="831" t="s">
        <v>293</v>
      </c>
      <c r="I247" s="828"/>
      <c r="J247" s="828"/>
      <c r="K247" s="828"/>
      <c r="L247" s="828"/>
      <c r="M247" s="828"/>
      <c r="N247" s="449" t="s">
        <v>293</v>
      </c>
      <c r="O247" s="449" t="s">
        <v>293</v>
      </c>
      <c r="P247" s="449" t="s">
        <v>293</v>
      </c>
      <c r="Q247" s="843">
        <v>0</v>
      </c>
      <c r="R247" s="828"/>
      <c r="S247" s="843">
        <v>0</v>
      </c>
      <c r="T247" s="828"/>
      <c r="U247" s="843">
        <v>1035723.79</v>
      </c>
      <c r="V247" s="828"/>
      <c r="W247" s="828"/>
      <c r="X247" s="828"/>
      <c r="Y247" s="828"/>
      <c r="Z247" s="445"/>
      <c r="AA247" s="445"/>
      <c r="AB247" s="445"/>
    </row>
    <row r="248" spans="1:28" ht="24" customHeight="1" x14ac:dyDescent="0.25">
      <c r="A248" s="833" t="s">
        <v>293</v>
      </c>
      <c r="B248" s="828"/>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445"/>
      <c r="AA248" s="445"/>
      <c r="AB248" s="445"/>
    </row>
    <row r="249" spans="1:28" ht="12" customHeight="1" x14ac:dyDescent="0.25">
      <c r="A249" s="831" t="s">
        <v>307</v>
      </c>
      <c r="B249" s="828"/>
      <c r="C249" s="449" t="s">
        <v>293</v>
      </c>
      <c r="D249" s="449" t="s">
        <v>440</v>
      </c>
      <c r="E249" s="831" t="s">
        <v>441</v>
      </c>
      <c r="F249" s="828"/>
      <c r="G249" s="828"/>
      <c r="H249" s="831" t="s">
        <v>293</v>
      </c>
      <c r="I249" s="828"/>
      <c r="J249" s="828"/>
      <c r="K249" s="828"/>
      <c r="L249" s="828"/>
      <c r="M249" s="828"/>
      <c r="N249" s="828"/>
      <c r="O249" s="828"/>
      <c r="P249" s="828"/>
      <c r="Q249" s="828"/>
      <c r="R249" s="828"/>
      <c r="S249" s="828"/>
      <c r="T249" s="828"/>
      <c r="U249" s="843">
        <v>4838.82</v>
      </c>
      <c r="V249" s="828"/>
      <c r="W249" s="828"/>
      <c r="X249" s="828"/>
      <c r="Y249" s="828"/>
      <c r="Z249" s="445"/>
      <c r="AA249" s="445"/>
      <c r="AB249" s="445"/>
    </row>
    <row r="250" spans="1:28" s="464" customFormat="1" ht="18" x14ac:dyDescent="0.25">
      <c r="A250" s="451" t="s">
        <v>761</v>
      </c>
      <c r="B250" s="452" t="s">
        <v>325</v>
      </c>
      <c r="C250" s="451" t="s">
        <v>1019</v>
      </c>
      <c r="D250" s="844" t="s">
        <v>1020</v>
      </c>
      <c r="E250" s="845"/>
      <c r="F250" s="845"/>
      <c r="G250" s="452" t="s">
        <v>293</v>
      </c>
      <c r="H250" s="846" t="s">
        <v>293</v>
      </c>
      <c r="I250" s="845"/>
      <c r="J250" s="845"/>
      <c r="K250" s="452" t="s">
        <v>316</v>
      </c>
      <c r="L250" s="846" t="s">
        <v>317</v>
      </c>
      <c r="M250" s="845"/>
      <c r="N250" s="452" t="s">
        <v>333</v>
      </c>
      <c r="O250" s="452" t="s">
        <v>293</v>
      </c>
      <c r="P250" s="452" t="s">
        <v>293</v>
      </c>
      <c r="Q250" s="847">
        <v>-31.57</v>
      </c>
      <c r="R250" s="845"/>
      <c r="S250" s="847">
        <v>-210.49</v>
      </c>
      <c r="T250" s="845"/>
      <c r="U250" s="848">
        <v>4628.33</v>
      </c>
      <c r="V250" s="845"/>
      <c r="W250" s="845"/>
      <c r="X250" s="845"/>
      <c r="Y250" s="845"/>
      <c r="Z250" s="453"/>
      <c r="AA250" s="453"/>
      <c r="AB250" s="560">
        <v>44123</v>
      </c>
    </row>
    <row r="251" spans="1:28" x14ac:dyDescent="0.25">
      <c r="A251" s="831" t="s">
        <v>293</v>
      </c>
      <c r="B251" s="828"/>
      <c r="C251" s="828"/>
      <c r="D251" s="828"/>
      <c r="E251" s="831" t="s">
        <v>441</v>
      </c>
      <c r="F251" s="828"/>
      <c r="G251" s="828"/>
      <c r="H251" s="831" t="s">
        <v>293</v>
      </c>
      <c r="I251" s="828"/>
      <c r="J251" s="828"/>
      <c r="K251" s="828"/>
      <c r="L251" s="828"/>
      <c r="M251" s="828"/>
      <c r="N251" s="449" t="s">
        <v>293</v>
      </c>
      <c r="O251" s="449" t="s">
        <v>293</v>
      </c>
      <c r="P251" s="449" t="s">
        <v>293</v>
      </c>
      <c r="Q251" s="843">
        <v>-31.57</v>
      </c>
      <c r="R251" s="828"/>
      <c r="S251" s="843">
        <v>-210.49</v>
      </c>
      <c r="T251" s="828"/>
      <c r="U251" s="843">
        <v>4628.33</v>
      </c>
      <c r="V251" s="828"/>
      <c r="W251" s="828"/>
      <c r="X251" s="828"/>
      <c r="Y251" s="828"/>
      <c r="Z251" s="445"/>
      <c r="AA251" s="445"/>
      <c r="AB251" s="445"/>
    </row>
    <row r="252" spans="1:28" ht="24" customHeight="1" x14ac:dyDescent="0.25">
      <c r="A252" s="833" t="s">
        <v>293</v>
      </c>
      <c r="B252" s="828"/>
      <c r="C252" s="828"/>
      <c r="D252" s="828"/>
      <c r="E252" s="828"/>
      <c r="F252" s="828"/>
      <c r="G252" s="828"/>
      <c r="H252" s="828"/>
      <c r="I252" s="828"/>
      <c r="J252" s="828"/>
      <c r="K252" s="828"/>
      <c r="L252" s="828"/>
      <c r="M252" s="828"/>
      <c r="N252" s="828"/>
      <c r="O252" s="828"/>
      <c r="P252" s="828"/>
      <c r="Q252" s="828"/>
      <c r="R252" s="828"/>
      <c r="S252" s="828"/>
      <c r="T252" s="828"/>
      <c r="U252" s="828"/>
      <c r="V252" s="828"/>
      <c r="W252" s="828"/>
      <c r="X252" s="828"/>
      <c r="Y252" s="828"/>
      <c r="Z252" s="445"/>
      <c r="AA252" s="445"/>
      <c r="AB252" s="445"/>
    </row>
    <row r="253" spans="1:28" ht="24" customHeight="1" x14ac:dyDescent="0.25">
      <c r="A253" s="833" t="s">
        <v>293</v>
      </c>
      <c r="B253" s="828"/>
      <c r="C253" s="828"/>
      <c r="D253" s="828"/>
      <c r="E253" s="828"/>
      <c r="F253" s="828"/>
      <c r="G253" s="828"/>
      <c r="H253" s="828"/>
      <c r="I253" s="828"/>
      <c r="J253" s="828"/>
      <c r="K253" s="828"/>
      <c r="L253" s="828"/>
      <c r="M253" s="828"/>
      <c r="N253" s="828"/>
      <c r="O253" s="828"/>
      <c r="P253" s="828"/>
      <c r="Q253" s="828"/>
      <c r="R253" s="828"/>
      <c r="S253" s="828"/>
      <c r="T253" s="828"/>
      <c r="U253" s="828"/>
      <c r="V253" s="828"/>
      <c r="W253" s="828"/>
      <c r="X253" s="828"/>
      <c r="Y253" s="828"/>
      <c r="Z253" s="445"/>
      <c r="AA253" s="445"/>
      <c r="AB253" s="445"/>
    </row>
  </sheetData>
  <autoFilter ref="A13:AB253" xr:uid="{8324526F-7B34-4FA9-A468-C2D111CAB916}">
    <filterColumn colId="3" showButton="0"/>
    <filterColumn colId="4" showButton="0"/>
    <filterColumn colId="7" showButton="0"/>
    <filterColumn colId="8" showButton="0"/>
    <filterColumn colId="11" showButton="0"/>
    <filterColumn colId="16" showButton="0"/>
    <filterColumn colId="18" showButton="0"/>
    <filterColumn colId="20" showButton="0"/>
    <filterColumn colId="21" showButton="0"/>
    <filterColumn colId="22" showButton="0"/>
    <filterColumn colId="23" showButton="0"/>
  </autoFilter>
  <mergeCells count="1306">
    <mergeCell ref="A1:E1"/>
    <mergeCell ref="T1:W1"/>
    <mergeCell ref="A2:E2"/>
    <mergeCell ref="A4:E4"/>
    <mergeCell ref="R4:W4"/>
    <mergeCell ref="A6:I6"/>
    <mergeCell ref="A14:Y14"/>
    <mergeCell ref="A15:B15"/>
    <mergeCell ref="E15:G15"/>
    <mergeCell ref="H15:T15"/>
    <mergeCell ref="U15:Y15"/>
    <mergeCell ref="D16:F16"/>
    <mergeCell ref="H16:J16"/>
    <mergeCell ref="L16:M16"/>
    <mergeCell ref="Q16:R16"/>
    <mergeCell ref="S16:T16"/>
    <mergeCell ref="A8:L8"/>
    <mergeCell ref="A9:H9"/>
    <mergeCell ref="I9:L9"/>
    <mergeCell ref="H12:Y12"/>
    <mergeCell ref="D13:F13"/>
    <mergeCell ref="H13:J13"/>
    <mergeCell ref="L13:M13"/>
    <mergeCell ref="Q13:R13"/>
    <mergeCell ref="S13:T13"/>
    <mergeCell ref="U13:Y13"/>
    <mergeCell ref="D19:F19"/>
    <mergeCell ref="H19:J19"/>
    <mergeCell ref="L19:M19"/>
    <mergeCell ref="Q19:R19"/>
    <mergeCell ref="S19:T19"/>
    <mergeCell ref="U19:Y19"/>
    <mergeCell ref="D18:F18"/>
    <mergeCell ref="H18:J18"/>
    <mergeCell ref="L18:M18"/>
    <mergeCell ref="Q18:R18"/>
    <mergeCell ref="S18:T18"/>
    <mergeCell ref="U18:Y18"/>
    <mergeCell ref="U16:Y16"/>
    <mergeCell ref="D17:F17"/>
    <mergeCell ref="H17:J17"/>
    <mergeCell ref="L17:M17"/>
    <mergeCell ref="Q17:R17"/>
    <mergeCell ref="S17:T17"/>
    <mergeCell ref="U17:Y17"/>
    <mergeCell ref="D22:F22"/>
    <mergeCell ref="H22:J22"/>
    <mergeCell ref="L22:M22"/>
    <mergeCell ref="Q22:R22"/>
    <mergeCell ref="S22:T22"/>
    <mergeCell ref="U22:Y22"/>
    <mergeCell ref="D21:F21"/>
    <mergeCell ref="H21:J21"/>
    <mergeCell ref="L21:M21"/>
    <mergeCell ref="Q21:R21"/>
    <mergeCell ref="S21:T21"/>
    <mergeCell ref="U21:Y21"/>
    <mergeCell ref="D20:F20"/>
    <mergeCell ref="H20:J20"/>
    <mergeCell ref="L20:M20"/>
    <mergeCell ref="Q20:R20"/>
    <mergeCell ref="S20:T20"/>
    <mergeCell ref="U20:Y20"/>
    <mergeCell ref="D25:F25"/>
    <mergeCell ref="H25:J25"/>
    <mergeCell ref="L25:M25"/>
    <mergeCell ref="Q25:R25"/>
    <mergeCell ref="S25:T25"/>
    <mergeCell ref="U25:Y25"/>
    <mergeCell ref="D24:F24"/>
    <mergeCell ref="H24:J24"/>
    <mergeCell ref="L24:M24"/>
    <mergeCell ref="Q24:R24"/>
    <mergeCell ref="S24:T24"/>
    <mergeCell ref="U24:Y24"/>
    <mergeCell ref="D23:F23"/>
    <mergeCell ref="H23:J23"/>
    <mergeCell ref="L23:M23"/>
    <mergeCell ref="Q23:R23"/>
    <mergeCell ref="S23:T23"/>
    <mergeCell ref="U23:Y23"/>
    <mergeCell ref="D28:F28"/>
    <mergeCell ref="H28:J28"/>
    <mergeCell ref="L28:M28"/>
    <mergeCell ref="Q28:R28"/>
    <mergeCell ref="S28:T28"/>
    <mergeCell ref="U28:Y28"/>
    <mergeCell ref="D27:F27"/>
    <mergeCell ref="H27:J27"/>
    <mergeCell ref="L27:M27"/>
    <mergeCell ref="Q27:R27"/>
    <mergeCell ref="S27:T27"/>
    <mergeCell ref="U27:Y27"/>
    <mergeCell ref="D26:F26"/>
    <mergeCell ref="H26:J26"/>
    <mergeCell ref="L26:M26"/>
    <mergeCell ref="Q26:R26"/>
    <mergeCell ref="S26:T26"/>
    <mergeCell ref="U26:Y26"/>
    <mergeCell ref="D31:F31"/>
    <mergeCell ref="H31:J31"/>
    <mergeCell ref="L31:M31"/>
    <mergeCell ref="Q31:R31"/>
    <mergeCell ref="S31:T31"/>
    <mergeCell ref="U31:Y31"/>
    <mergeCell ref="D30:F30"/>
    <mergeCell ref="H30:J30"/>
    <mergeCell ref="L30:M30"/>
    <mergeCell ref="Q30:R30"/>
    <mergeCell ref="S30:T30"/>
    <mergeCell ref="U30:Y30"/>
    <mergeCell ref="D29:F29"/>
    <mergeCell ref="H29:J29"/>
    <mergeCell ref="L29:M29"/>
    <mergeCell ref="Q29:R29"/>
    <mergeCell ref="S29:T29"/>
    <mergeCell ref="U29:Y29"/>
    <mergeCell ref="D34:F34"/>
    <mergeCell ref="H34:J34"/>
    <mergeCell ref="L34:M34"/>
    <mergeCell ref="Q34:R34"/>
    <mergeCell ref="S34:T34"/>
    <mergeCell ref="U34:Y34"/>
    <mergeCell ref="D33:F33"/>
    <mergeCell ref="H33:J33"/>
    <mergeCell ref="L33:M33"/>
    <mergeCell ref="Q33:R33"/>
    <mergeCell ref="S33:T33"/>
    <mergeCell ref="U33:Y33"/>
    <mergeCell ref="D32:F32"/>
    <mergeCell ref="H32:J32"/>
    <mergeCell ref="L32:M32"/>
    <mergeCell ref="Q32:R32"/>
    <mergeCell ref="S32:T32"/>
    <mergeCell ref="U32:Y32"/>
    <mergeCell ref="D37:F37"/>
    <mergeCell ref="H37:J37"/>
    <mergeCell ref="L37:M37"/>
    <mergeCell ref="Q37:R37"/>
    <mergeCell ref="S37:T37"/>
    <mergeCell ref="U37:Y37"/>
    <mergeCell ref="D36:F36"/>
    <mergeCell ref="H36:J36"/>
    <mergeCell ref="L36:M36"/>
    <mergeCell ref="Q36:R36"/>
    <mergeCell ref="S36:T36"/>
    <mergeCell ref="U36:Y36"/>
    <mergeCell ref="D35:F35"/>
    <mergeCell ref="H35:J35"/>
    <mergeCell ref="L35:M35"/>
    <mergeCell ref="Q35:R35"/>
    <mergeCell ref="S35:T35"/>
    <mergeCell ref="U35:Y35"/>
    <mergeCell ref="D40:F40"/>
    <mergeCell ref="H40:J40"/>
    <mergeCell ref="L40:M40"/>
    <mergeCell ref="Q40:R40"/>
    <mergeCell ref="S40:T40"/>
    <mergeCell ref="U40:Y40"/>
    <mergeCell ref="D39:F39"/>
    <mergeCell ref="H39:J39"/>
    <mergeCell ref="L39:M39"/>
    <mergeCell ref="Q39:R39"/>
    <mergeCell ref="S39:T39"/>
    <mergeCell ref="U39:Y39"/>
    <mergeCell ref="D38:F38"/>
    <mergeCell ref="H38:J38"/>
    <mergeCell ref="L38:M38"/>
    <mergeCell ref="Q38:R38"/>
    <mergeCell ref="S38:T38"/>
    <mergeCell ref="U38:Y38"/>
    <mergeCell ref="D43:F43"/>
    <mergeCell ref="H43:J43"/>
    <mergeCell ref="L43:M43"/>
    <mergeCell ref="Q43:R43"/>
    <mergeCell ref="S43:T43"/>
    <mergeCell ref="U43:Y43"/>
    <mergeCell ref="D42:F42"/>
    <mergeCell ref="H42:J42"/>
    <mergeCell ref="L42:M42"/>
    <mergeCell ref="Q42:R42"/>
    <mergeCell ref="S42:T42"/>
    <mergeCell ref="U42:Y42"/>
    <mergeCell ref="D41:F41"/>
    <mergeCell ref="H41:J41"/>
    <mergeCell ref="L41:M41"/>
    <mergeCell ref="Q41:R41"/>
    <mergeCell ref="S41:T41"/>
    <mergeCell ref="U41:Y41"/>
    <mergeCell ref="D46:F46"/>
    <mergeCell ref="H46:J46"/>
    <mergeCell ref="L46:M46"/>
    <mergeCell ref="Q46:R46"/>
    <mergeCell ref="S46:T46"/>
    <mergeCell ref="U46:Y46"/>
    <mergeCell ref="D45:F45"/>
    <mergeCell ref="H45:J45"/>
    <mergeCell ref="L45:M45"/>
    <mergeCell ref="Q45:R45"/>
    <mergeCell ref="S45:T45"/>
    <mergeCell ref="U45:Y45"/>
    <mergeCell ref="D44:F44"/>
    <mergeCell ref="H44:J44"/>
    <mergeCell ref="L44:M44"/>
    <mergeCell ref="Q44:R44"/>
    <mergeCell ref="S44:T44"/>
    <mergeCell ref="U44:Y44"/>
    <mergeCell ref="A49:Y49"/>
    <mergeCell ref="A50:B50"/>
    <mergeCell ref="E50:G50"/>
    <mergeCell ref="H50:T50"/>
    <mergeCell ref="U50:Y50"/>
    <mergeCell ref="D51:F51"/>
    <mergeCell ref="H51:J51"/>
    <mergeCell ref="L51:M51"/>
    <mergeCell ref="Q51:R51"/>
    <mergeCell ref="S51:T51"/>
    <mergeCell ref="A48:D48"/>
    <mergeCell ref="E48:G48"/>
    <mergeCell ref="H48:M48"/>
    <mergeCell ref="Q48:R48"/>
    <mergeCell ref="S48:T48"/>
    <mergeCell ref="U48:Y48"/>
    <mergeCell ref="D47:F47"/>
    <mergeCell ref="H47:J47"/>
    <mergeCell ref="L47:M47"/>
    <mergeCell ref="Q47:R47"/>
    <mergeCell ref="S47:T47"/>
    <mergeCell ref="U47:Y47"/>
    <mergeCell ref="D54:F54"/>
    <mergeCell ref="H54:J54"/>
    <mergeCell ref="L54:M54"/>
    <mergeCell ref="Q54:R54"/>
    <mergeCell ref="S54:T54"/>
    <mergeCell ref="U54:Y54"/>
    <mergeCell ref="D53:F53"/>
    <mergeCell ref="H53:J53"/>
    <mergeCell ref="L53:M53"/>
    <mergeCell ref="Q53:R53"/>
    <mergeCell ref="S53:T53"/>
    <mergeCell ref="U53:Y53"/>
    <mergeCell ref="U51:Y51"/>
    <mergeCell ref="D52:F52"/>
    <mergeCell ref="H52:J52"/>
    <mergeCell ref="L52:M52"/>
    <mergeCell ref="Q52:R52"/>
    <mergeCell ref="S52:T52"/>
    <mergeCell ref="U52:Y52"/>
    <mergeCell ref="D57:F57"/>
    <mergeCell ref="H57:J57"/>
    <mergeCell ref="L57:M57"/>
    <mergeCell ref="Q57:R57"/>
    <mergeCell ref="S57:T57"/>
    <mergeCell ref="U57:Y57"/>
    <mergeCell ref="D56:F56"/>
    <mergeCell ref="H56:J56"/>
    <mergeCell ref="L56:M56"/>
    <mergeCell ref="Q56:R56"/>
    <mergeCell ref="S56:T56"/>
    <mergeCell ref="U56:Y56"/>
    <mergeCell ref="D55:F55"/>
    <mergeCell ref="H55:J55"/>
    <mergeCell ref="L55:M55"/>
    <mergeCell ref="Q55:R55"/>
    <mergeCell ref="S55:T55"/>
    <mergeCell ref="U55:Y55"/>
    <mergeCell ref="A60:Y60"/>
    <mergeCell ref="A61:B61"/>
    <mergeCell ref="E61:G61"/>
    <mergeCell ref="H61:T61"/>
    <mergeCell ref="U61:Y61"/>
    <mergeCell ref="D62:F62"/>
    <mergeCell ref="H62:J62"/>
    <mergeCell ref="L62:M62"/>
    <mergeCell ref="Q62:R62"/>
    <mergeCell ref="S62:T62"/>
    <mergeCell ref="A59:D59"/>
    <mergeCell ref="E59:G59"/>
    <mergeCell ref="H59:M59"/>
    <mergeCell ref="Q59:R59"/>
    <mergeCell ref="S59:T59"/>
    <mergeCell ref="U59:Y59"/>
    <mergeCell ref="D58:F58"/>
    <mergeCell ref="H58:J58"/>
    <mergeCell ref="L58:M58"/>
    <mergeCell ref="Q58:R58"/>
    <mergeCell ref="S58:T58"/>
    <mergeCell ref="U58:Y58"/>
    <mergeCell ref="A65:D65"/>
    <mergeCell ref="E65:G65"/>
    <mergeCell ref="H65:M65"/>
    <mergeCell ref="Q65:R65"/>
    <mergeCell ref="S65:T65"/>
    <mergeCell ref="U65:Y65"/>
    <mergeCell ref="D64:F64"/>
    <mergeCell ref="H64:J64"/>
    <mergeCell ref="L64:M64"/>
    <mergeCell ref="Q64:R64"/>
    <mergeCell ref="S64:T64"/>
    <mergeCell ref="U64:Y64"/>
    <mergeCell ref="U62:Y62"/>
    <mergeCell ref="D63:F63"/>
    <mergeCell ref="H63:J63"/>
    <mergeCell ref="L63:M63"/>
    <mergeCell ref="Q63:R63"/>
    <mergeCell ref="S63:T63"/>
    <mergeCell ref="U63:Y63"/>
    <mergeCell ref="D70:F70"/>
    <mergeCell ref="H70:J70"/>
    <mergeCell ref="L70:M70"/>
    <mergeCell ref="Q70:R70"/>
    <mergeCell ref="S70:T70"/>
    <mergeCell ref="U70:Y70"/>
    <mergeCell ref="U68:Y68"/>
    <mergeCell ref="D69:F69"/>
    <mergeCell ref="H69:J69"/>
    <mergeCell ref="L69:M69"/>
    <mergeCell ref="Q69:R69"/>
    <mergeCell ref="S69:T69"/>
    <mergeCell ref="U69:Y69"/>
    <mergeCell ref="A66:Y66"/>
    <mergeCell ref="A67:B67"/>
    <mergeCell ref="E67:G67"/>
    <mergeCell ref="H67:T67"/>
    <mergeCell ref="U67:Y67"/>
    <mergeCell ref="D68:F68"/>
    <mergeCell ref="H68:J68"/>
    <mergeCell ref="L68:M68"/>
    <mergeCell ref="Q68:R68"/>
    <mergeCell ref="S68:T68"/>
    <mergeCell ref="A73:Y73"/>
    <mergeCell ref="A74:B74"/>
    <mergeCell ref="E74:G74"/>
    <mergeCell ref="H74:T74"/>
    <mergeCell ref="U74:Y74"/>
    <mergeCell ref="D75:F75"/>
    <mergeCell ref="H75:J75"/>
    <mergeCell ref="L75:M75"/>
    <mergeCell ref="Q75:R75"/>
    <mergeCell ref="S75:T75"/>
    <mergeCell ref="A72:D72"/>
    <mergeCell ref="E72:G72"/>
    <mergeCell ref="H72:M72"/>
    <mergeCell ref="Q72:R72"/>
    <mergeCell ref="S72:T72"/>
    <mergeCell ref="U72:Y72"/>
    <mergeCell ref="D71:F71"/>
    <mergeCell ref="H71:J71"/>
    <mergeCell ref="L71:M71"/>
    <mergeCell ref="Q71:R71"/>
    <mergeCell ref="S71:T71"/>
    <mergeCell ref="U71:Y71"/>
    <mergeCell ref="A81:B81"/>
    <mergeCell ref="E81:G81"/>
    <mergeCell ref="H81:T81"/>
    <mergeCell ref="U81:Y81"/>
    <mergeCell ref="D82:F82"/>
    <mergeCell ref="H82:J82"/>
    <mergeCell ref="L82:M82"/>
    <mergeCell ref="Q82:R82"/>
    <mergeCell ref="S82:T82"/>
    <mergeCell ref="A77:D77"/>
    <mergeCell ref="E77:G77"/>
    <mergeCell ref="H77:M77"/>
    <mergeCell ref="Q77:R77"/>
    <mergeCell ref="S77:T77"/>
    <mergeCell ref="U77:Y77"/>
    <mergeCell ref="U75:Y75"/>
    <mergeCell ref="D76:F76"/>
    <mergeCell ref="H76:J76"/>
    <mergeCell ref="L76:M76"/>
    <mergeCell ref="Q76:R76"/>
    <mergeCell ref="S76:T76"/>
    <mergeCell ref="U76:Y76"/>
    <mergeCell ref="D78:F78"/>
    <mergeCell ref="H78:J78"/>
    <mergeCell ref="L78:M78"/>
    <mergeCell ref="Q78:R78"/>
    <mergeCell ref="S78:T78"/>
    <mergeCell ref="U78:Y78"/>
    <mergeCell ref="A85:D85"/>
    <mergeCell ref="E85:G85"/>
    <mergeCell ref="H85:M85"/>
    <mergeCell ref="Q85:R85"/>
    <mergeCell ref="S85:T85"/>
    <mergeCell ref="U85:Y85"/>
    <mergeCell ref="D84:F84"/>
    <mergeCell ref="H84:J84"/>
    <mergeCell ref="L84:M84"/>
    <mergeCell ref="Q84:R84"/>
    <mergeCell ref="S84:T84"/>
    <mergeCell ref="U84:Y84"/>
    <mergeCell ref="U82:Y82"/>
    <mergeCell ref="D83:F83"/>
    <mergeCell ref="H83:J83"/>
    <mergeCell ref="L83:M83"/>
    <mergeCell ref="Q83:R83"/>
    <mergeCell ref="S83:T83"/>
    <mergeCell ref="U83:Y83"/>
    <mergeCell ref="A90:D90"/>
    <mergeCell ref="E90:G90"/>
    <mergeCell ref="H90:M90"/>
    <mergeCell ref="Q90:R90"/>
    <mergeCell ref="S90:T90"/>
    <mergeCell ref="U90:Y90"/>
    <mergeCell ref="U88:Y88"/>
    <mergeCell ref="D89:F89"/>
    <mergeCell ref="H89:J89"/>
    <mergeCell ref="L89:M89"/>
    <mergeCell ref="Q89:R89"/>
    <mergeCell ref="S89:T89"/>
    <mergeCell ref="U89:Y89"/>
    <mergeCell ref="A86:Y86"/>
    <mergeCell ref="A87:B87"/>
    <mergeCell ref="E87:G87"/>
    <mergeCell ref="H87:T87"/>
    <mergeCell ref="U87:Y87"/>
    <mergeCell ref="D88:F88"/>
    <mergeCell ref="H88:J88"/>
    <mergeCell ref="L88:M88"/>
    <mergeCell ref="Q88:R88"/>
    <mergeCell ref="S88:T88"/>
    <mergeCell ref="U93:Y93"/>
    <mergeCell ref="D94:F94"/>
    <mergeCell ref="H94:J94"/>
    <mergeCell ref="L94:M94"/>
    <mergeCell ref="Q94:R94"/>
    <mergeCell ref="S94:T94"/>
    <mergeCell ref="U94:Y94"/>
    <mergeCell ref="A91:Y91"/>
    <mergeCell ref="A92:B92"/>
    <mergeCell ref="E92:G92"/>
    <mergeCell ref="H92:T92"/>
    <mergeCell ref="U92:Y92"/>
    <mergeCell ref="D93:F93"/>
    <mergeCell ref="H93:J93"/>
    <mergeCell ref="L93:M93"/>
    <mergeCell ref="Q93:R93"/>
    <mergeCell ref="S93:T93"/>
    <mergeCell ref="A97:D97"/>
    <mergeCell ref="E97:G97"/>
    <mergeCell ref="H97:M97"/>
    <mergeCell ref="Q97:R97"/>
    <mergeCell ref="S97:T97"/>
    <mergeCell ref="U97:Y97"/>
    <mergeCell ref="D96:F96"/>
    <mergeCell ref="H96:J96"/>
    <mergeCell ref="L96:M96"/>
    <mergeCell ref="Q96:R96"/>
    <mergeCell ref="S96:T96"/>
    <mergeCell ref="U96:Y96"/>
    <mergeCell ref="D95:F95"/>
    <mergeCell ref="H95:J95"/>
    <mergeCell ref="L95:M95"/>
    <mergeCell ref="Q95:R95"/>
    <mergeCell ref="S95:T95"/>
    <mergeCell ref="U95:Y95"/>
    <mergeCell ref="U100:Y100"/>
    <mergeCell ref="D101:F101"/>
    <mergeCell ref="H101:J101"/>
    <mergeCell ref="L101:M101"/>
    <mergeCell ref="Q101:R101"/>
    <mergeCell ref="S101:T101"/>
    <mergeCell ref="U101:Y101"/>
    <mergeCell ref="A98:Y98"/>
    <mergeCell ref="A99:B99"/>
    <mergeCell ref="E99:G99"/>
    <mergeCell ref="H99:T99"/>
    <mergeCell ref="U99:Y99"/>
    <mergeCell ref="D100:F100"/>
    <mergeCell ref="H100:J100"/>
    <mergeCell ref="L100:M100"/>
    <mergeCell ref="Q100:R100"/>
    <mergeCell ref="S100:T100"/>
    <mergeCell ref="D104:F104"/>
    <mergeCell ref="H104:J104"/>
    <mergeCell ref="L104:M104"/>
    <mergeCell ref="Q104:R104"/>
    <mergeCell ref="S104:T104"/>
    <mergeCell ref="U104:Y104"/>
    <mergeCell ref="D103:F103"/>
    <mergeCell ref="H103:J103"/>
    <mergeCell ref="L103:M103"/>
    <mergeCell ref="Q103:R103"/>
    <mergeCell ref="S103:T103"/>
    <mergeCell ref="U103:Y103"/>
    <mergeCell ref="D102:F102"/>
    <mergeCell ref="H102:J102"/>
    <mergeCell ref="L102:M102"/>
    <mergeCell ref="Q102:R102"/>
    <mergeCell ref="S102:T102"/>
    <mergeCell ref="U102:Y102"/>
    <mergeCell ref="D107:F107"/>
    <mergeCell ref="H107:J107"/>
    <mergeCell ref="L107:M107"/>
    <mergeCell ref="Q107:R107"/>
    <mergeCell ref="S107:T107"/>
    <mergeCell ref="U107:Y107"/>
    <mergeCell ref="D106:F106"/>
    <mergeCell ref="H106:J106"/>
    <mergeCell ref="L106:M106"/>
    <mergeCell ref="Q106:R106"/>
    <mergeCell ref="S106:T106"/>
    <mergeCell ref="U106:Y106"/>
    <mergeCell ref="D105:F105"/>
    <mergeCell ref="H105:J105"/>
    <mergeCell ref="L105:M105"/>
    <mergeCell ref="Q105:R105"/>
    <mergeCell ref="S105:T105"/>
    <mergeCell ref="U105:Y105"/>
    <mergeCell ref="D110:F110"/>
    <mergeCell ref="H110:J110"/>
    <mergeCell ref="L110:M110"/>
    <mergeCell ref="Q110:R110"/>
    <mergeCell ref="S110:T110"/>
    <mergeCell ref="U110:Y110"/>
    <mergeCell ref="D109:F109"/>
    <mergeCell ref="H109:J109"/>
    <mergeCell ref="L109:M109"/>
    <mergeCell ref="Q109:R109"/>
    <mergeCell ref="S109:T109"/>
    <mergeCell ref="U109:Y109"/>
    <mergeCell ref="D108:F108"/>
    <mergeCell ref="H108:J108"/>
    <mergeCell ref="L108:M108"/>
    <mergeCell ref="Q108:R108"/>
    <mergeCell ref="S108:T108"/>
    <mergeCell ref="U108:Y108"/>
    <mergeCell ref="A113:D113"/>
    <mergeCell ref="E113:G113"/>
    <mergeCell ref="H113:M113"/>
    <mergeCell ref="Q113:R113"/>
    <mergeCell ref="S113:T113"/>
    <mergeCell ref="U113:Y113"/>
    <mergeCell ref="D112:F112"/>
    <mergeCell ref="H112:J112"/>
    <mergeCell ref="L112:M112"/>
    <mergeCell ref="Q112:R112"/>
    <mergeCell ref="S112:T112"/>
    <mergeCell ref="U112:Y112"/>
    <mergeCell ref="D111:F111"/>
    <mergeCell ref="H111:J111"/>
    <mergeCell ref="L111:M111"/>
    <mergeCell ref="Q111:R111"/>
    <mergeCell ref="S111:T111"/>
    <mergeCell ref="U111:Y111"/>
    <mergeCell ref="U116:Y116"/>
    <mergeCell ref="D117:F117"/>
    <mergeCell ref="H117:J117"/>
    <mergeCell ref="L117:M117"/>
    <mergeCell ref="Q117:R117"/>
    <mergeCell ref="S117:T117"/>
    <mergeCell ref="U117:Y117"/>
    <mergeCell ref="A114:Y114"/>
    <mergeCell ref="A115:B115"/>
    <mergeCell ref="E115:G115"/>
    <mergeCell ref="H115:T115"/>
    <mergeCell ref="U115:Y115"/>
    <mergeCell ref="D116:F116"/>
    <mergeCell ref="H116:J116"/>
    <mergeCell ref="L116:M116"/>
    <mergeCell ref="Q116:R116"/>
    <mergeCell ref="S116:T116"/>
    <mergeCell ref="D120:F120"/>
    <mergeCell ref="H120:J120"/>
    <mergeCell ref="L120:M120"/>
    <mergeCell ref="Q120:R120"/>
    <mergeCell ref="S120:T120"/>
    <mergeCell ref="U120:Y120"/>
    <mergeCell ref="D119:F119"/>
    <mergeCell ref="H119:J119"/>
    <mergeCell ref="L119:M119"/>
    <mergeCell ref="Q119:R119"/>
    <mergeCell ref="S119:T119"/>
    <mergeCell ref="U119:Y119"/>
    <mergeCell ref="D118:F118"/>
    <mergeCell ref="H118:J118"/>
    <mergeCell ref="L118:M118"/>
    <mergeCell ref="Q118:R118"/>
    <mergeCell ref="S118:T118"/>
    <mergeCell ref="U118:Y118"/>
    <mergeCell ref="D123:F123"/>
    <mergeCell ref="H123:J123"/>
    <mergeCell ref="L123:M123"/>
    <mergeCell ref="Q123:R123"/>
    <mergeCell ref="S123:T123"/>
    <mergeCell ref="U123:Y123"/>
    <mergeCell ref="D122:F122"/>
    <mergeCell ref="H122:J122"/>
    <mergeCell ref="L122:M122"/>
    <mergeCell ref="Q122:R122"/>
    <mergeCell ref="S122:T122"/>
    <mergeCell ref="U122:Y122"/>
    <mergeCell ref="D121:F121"/>
    <mergeCell ref="H121:J121"/>
    <mergeCell ref="L121:M121"/>
    <mergeCell ref="Q121:R121"/>
    <mergeCell ref="S121:T121"/>
    <mergeCell ref="U121:Y121"/>
    <mergeCell ref="D126:F126"/>
    <mergeCell ref="H126:J126"/>
    <mergeCell ref="L126:M126"/>
    <mergeCell ref="Q126:R126"/>
    <mergeCell ref="S126:T126"/>
    <mergeCell ref="U126:Y126"/>
    <mergeCell ref="D125:F125"/>
    <mergeCell ref="H125:J125"/>
    <mergeCell ref="L125:M125"/>
    <mergeCell ref="Q125:R125"/>
    <mergeCell ref="S125:T125"/>
    <mergeCell ref="U125:Y125"/>
    <mergeCell ref="D124:F124"/>
    <mergeCell ref="H124:J124"/>
    <mergeCell ref="L124:M124"/>
    <mergeCell ref="Q124:R124"/>
    <mergeCell ref="S124:T124"/>
    <mergeCell ref="U124:Y124"/>
    <mergeCell ref="D129:F129"/>
    <mergeCell ref="H129:J129"/>
    <mergeCell ref="L129:M129"/>
    <mergeCell ref="Q129:R129"/>
    <mergeCell ref="S129:T129"/>
    <mergeCell ref="U129:Y129"/>
    <mergeCell ref="D128:F128"/>
    <mergeCell ref="H128:J128"/>
    <mergeCell ref="L128:M128"/>
    <mergeCell ref="Q128:R128"/>
    <mergeCell ref="S128:T128"/>
    <mergeCell ref="U128:Y128"/>
    <mergeCell ref="D127:F127"/>
    <mergeCell ref="H127:J127"/>
    <mergeCell ref="L127:M127"/>
    <mergeCell ref="Q127:R127"/>
    <mergeCell ref="S127:T127"/>
    <mergeCell ref="U127:Y127"/>
    <mergeCell ref="D132:F132"/>
    <mergeCell ref="H132:J132"/>
    <mergeCell ref="L132:M132"/>
    <mergeCell ref="Q132:R132"/>
    <mergeCell ref="S132:T132"/>
    <mergeCell ref="U132:Y132"/>
    <mergeCell ref="D131:F131"/>
    <mergeCell ref="H131:J131"/>
    <mergeCell ref="L131:M131"/>
    <mergeCell ref="Q131:R131"/>
    <mergeCell ref="S131:T131"/>
    <mergeCell ref="U131:Y131"/>
    <mergeCell ref="D130:F130"/>
    <mergeCell ref="H130:J130"/>
    <mergeCell ref="L130:M130"/>
    <mergeCell ref="Q130:R130"/>
    <mergeCell ref="S130:T130"/>
    <mergeCell ref="U130:Y130"/>
    <mergeCell ref="D135:F135"/>
    <mergeCell ref="H135:J135"/>
    <mergeCell ref="L135:M135"/>
    <mergeCell ref="Q135:R135"/>
    <mergeCell ref="S135:T135"/>
    <mergeCell ref="U135:Y135"/>
    <mergeCell ref="D134:F134"/>
    <mergeCell ref="H134:J134"/>
    <mergeCell ref="L134:M134"/>
    <mergeCell ref="Q134:R134"/>
    <mergeCell ref="S134:T134"/>
    <mergeCell ref="U134:Y134"/>
    <mergeCell ref="D133:F133"/>
    <mergeCell ref="H133:J133"/>
    <mergeCell ref="L133:M133"/>
    <mergeCell ref="Q133:R133"/>
    <mergeCell ref="S133:T133"/>
    <mergeCell ref="U133:Y133"/>
    <mergeCell ref="D138:F138"/>
    <mergeCell ref="H138:J138"/>
    <mergeCell ref="L138:M138"/>
    <mergeCell ref="Q138:R138"/>
    <mergeCell ref="S138:T138"/>
    <mergeCell ref="U138:Y138"/>
    <mergeCell ref="D137:F137"/>
    <mergeCell ref="H137:J137"/>
    <mergeCell ref="L137:M137"/>
    <mergeCell ref="Q137:R137"/>
    <mergeCell ref="S137:T137"/>
    <mergeCell ref="U137:Y137"/>
    <mergeCell ref="D136:F136"/>
    <mergeCell ref="H136:J136"/>
    <mergeCell ref="L136:M136"/>
    <mergeCell ref="Q136:R136"/>
    <mergeCell ref="S136:T136"/>
    <mergeCell ref="U136:Y136"/>
    <mergeCell ref="D141:F141"/>
    <mergeCell ref="H141:J141"/>
    <mergeCell ref="L141:M141"/>
    <mergeCell ref="Q141:R141"/>
    <mergeCell ref="S141:T141"/>
    <mergeCell ref="U141:Y141"/>
    <mergeCell ref="D140:F140"/>
    <mergeCell ref="H140:J140"/>
    <mergeCell ref="L140:M140"/>
    <mergeCell ref="Q140:R140"/>
    <mergeCell ref="S140:T140"/>
    <mergeCell ref="U140:Y140"/>
    <mergeCell ref="D139:F139"/>
    <mergeCell ref="H139:J139"/>
    <mergeCell ref="L139:M139"/>
    <mergeCell ref="Q139:R139"/>
    <mergeCell ref="S139:T139"/>
    <mergeCell ref="U139:Y139"/>
    <mergeCell ref="D144:F144"/>
    <mergeCell ref="H144:J144"/>
    <mergeCell ref="L144:M144"/>
    <mergeCell ref="Q144:R144"/>
    <mergeCell ref="S144:T144"/>
    <mergeCell ref="U144:Y144"/>
    <mergeCell ref="D143:F143"/>
    <mergeCell ref="H143:J143"/>
    <mergeCell ref="L143:M143"/>
    <mergeCell ref="Q143:R143"/>
    <mergeCell ref="S143:T143"/>
    <mergeCell ref="U143:Y143"/>
    <mergeCell ref="D142:F142"/>
    <mergeCell ref="H142:J142"/>
    <mergeCell ref="L142:M142"/>
    <mergeCell ref="Q142:R142"/>
    <mergeCell ref="S142:T142"/>
    <mergeCell ref="U142:Y142"/>
    <mergeCell ref="D147:F147"/>
    <mergeCell ref="H147:J147"/>
    <mergeCell ref="L147:M147"/>
    <mergeCell ref="Q147:R147"/>
    <mergeCell ref="S147:T147"/>
    <mergeCell ref="U147:Y147"/>
    <mergeCell ref="D146:F146"/>
    <mergeCell ref="H146:J146"/>
    <mergeCell ref="L146:M146"/>
    <mergeCell ref="Q146:R146"/>
    <mergeCell ref="S146:T146"/>
    <mergeCell ref="U146:Y146"/>
    <mergeCell ref="D145:F145"/>
    <mergeCell ref="H145:J145"/>
    <mergeCell ref="L145:M145"/>
    <mergeCell ref="Q145:R145"/>
    <mergeCell ref="S145:T145"/>
    <mergeCell ref="U145:Y145"/>
    <mergeCell ref="A150:D150"/>
    <mergeCell ref="E150:G150"/>
    <mergeCell ref="H150:M150"/>
    <mergeCell ref="Q150:R150"/>
    <mergeCell ref="S150:T150"/>
    <mergeCell ref="U150:Y150"/>
    <mergeCell ref="D149:F149"/>
    <mergeCell ref="H149:J149"/>
    <mergeCell ref="L149:M149"/>
    <mergeCell ref="Q149:R149"/>
    <mergeCell ref="S149:T149"/>
    <mergeCell ref="U149:Y149"/>
    <mergeCell ref="D148:F148"/>
    <mergeCell ref="H148:J148"/>
    <mergeCell ref="L148:M148"/>
    <mergeCell ref="Q148:R148"/>
    <mergeCell ref="S148:T148"/>
    <mergeCell ref="U148:Y148"/>
    <mergeCell ref="U153:Y153"/>
    <mergeCell ref="D154:F154"/>
    <mergeCell ref="H154:J154"/>
    <mergeCell ref="L154:M154"/>
    <mergeCell ref="Q154:R154"/>
    <mergeCell ref="S154:T154"/>
    <mergeCell ref="U154:Y154"/>
    <mergeCell ref="A151:Y151"/>
    <mergeCell ref="A152:B152"/>
    <mergeCell ref="E152:G152"/>
    <mergeCell ref="H152:T152"/>
    <mergeCell ref="U152:Y152"/>
    <mergeCell ref="D153:F153"/>
    <mergeCell ref="H153:J153"/>
    <mergeCell ref="L153:M153"/>
    <mergeCell ref="Q153:R153"/>
    <mergeCell ref="S153:T153"/>
    <mergeCell ref="D157:F157"/>
    <mergeCell ref="H157:J157"/>
    <mergeCell ref="L157:M157"/>
    <mergeCell ref="Q157:R157"/>
    <mergeCell ref="S157:T157"/>
    <mergeCell ref="U157:Y157"/>
    <mergeCell ref="D156:F156"/>
    <mergeCell ref="H156:J156"/>
    <mergeCell ref="L156:M156"/>
    <mergeCell ref="Q156:R156"/>
    <mergeCell ref="S156:T156"/>
    <mergeCell ref="U156:Y156"/>
    <mergeCell ref="D155:F155"/>
    <mergeCell ref="H155:J155"/>
    <mergeCell ref="L155:M155"/>
    <mergeCell ref="Q155:R155"/>
    <mergeCell ref="S155:T155"/>
    <mergeCell ref="U155:Y155"/>
    <mergeCell ref="D160:F160"/>
    <mergeCell ref="H160:J160"/>
    <mergeCell ref="L160:M160"/>
    <mergeCell ref="Q160:R160"/>
    <mergeCell ref="S160:T160"/>
    <mergeCell ref="U160:Y160"/>
    <mergeCell ref="D159:F159"/>
    <mergeCell ref="H159:J159"/>
    <mergeCell ref="L159:M159"/>
    <mergeCell ref="Q159:R159"/>
    <mergeCell ref="S159:T159"/>
    <mergeCell ref="U159:Y159"/>
    <mergeCell ref="D158:F158"/>
    <mergeCell ref="H158:J158"/>
    <mergeCell ref="L158:M158"/>
    <mergeCell ref="Q158:R158"/>
    <mergeCell ref="S158:T158"/>
    <mergeCell ref="U158:Y158"/>
    <mergeCell ref="D163:F163"/>
    <mergeCell ref="H163:J163"/>
    <mergeCell ref="L163:M163"/>
    <mergeCell ref="Q163:R163"/>
    <mergeCell ref="S163:T163"/>
    <mergeCell ref="U163:Y163"/>
    <mergeCell ref="D162:F162"/>
    <mergeCell ref="H162:J162"/>
    <mergeCell ref="L162:M162"/>
    <mergeCell ref="Q162:R162"/>
    <mergeCell ref="S162:T162"/>
    <mergeCell ref="U162:Y162"/>
    <mergeCell ref="D161:F161"/>
    <mergeCell ref="H161:J161"/>
    <mergeCell ref="L161:M161"/>
    <mergeCell ref="Q161:R161"/>
    <mergeCell ref="S161:T161"/>
    <mergeCell ref="U161:Y161"/>
    <mergeCell ref="D166:F166"/>
    <mergeCell ref="H166:J166"/>
    <mergeCell ref="L166:M166"/>
    <mergeCell ref="Q166:R166"/>
    <mergeCell ref="S166:T166"/>
    <mergeCell ref="U166:Y166"/>
    <mergeCell ref="D165:F165"/>
    <mergeCell ref="H165:J165"/>
    <mergeCell ref="L165:M165"/>
    <mergeCell ref="Q165:R165"/>
    <mergeCell ref="S165:T165"/>
    <mergeCell ref="U165:Y165"/>
    <mergeCell ref="D164:F164"/>
    <mergeCell ref="H164:J164"/>
    <mergeCell ref="L164:M164"/>
    <mergeCell ref="Q164:R164"/>
    <mergeCell ref="S164:T164"/>
    <mergeCell ref="U164:Y164"/>
    <mergeCell ref="D169:F169"/>
    <mergeCell ref="H169:J169"/>
    <mergeCell ref="L169:M169"/>
    <mergeCell ref="Q169:R169"/>
    <mergeCell ref="S169:T169"/>
    <mergeCell ref="U169:Y169"/>
    <mergeCell ref="D168:F168"/>
    <mergeCell ref="H168:J168"/>
    <mergeCell ref="L168:M168"/>
    <mergeCell ref="Q168:R168"/>
    <mergeCell ref="S168:T168"/>
    <mergeCell ref="U168:Y168"/>
    <mergeCell ref="D167:F167"/>
    <mergeCell ref="H167:J167"/>
    <mergeCell ref="L167:M167"/>
    <mergeCell ref="Q167:R167"/>
    <mergeCell ref="S167:T167"/>
    <mergeCell ref="U167:Y167"/>
    <mergeCell ref="D172:F172"/>
    <mergeCell ref="H172:J172"/>
    <mergeCell ref="L172:M172"/>
    <mergeCell ref="Q172:R172"/>
    <mergeCell ref="S172:T172"/>
    <mergeCell ref="U172:Y172"/>
    <mergeCell ref="D171:F171"/>
    <mergeCell ref="H171:J171"/>
    <mergeCell ref="L171:M171"/>
    <mergeCell ref="Q171:R171"/>
    <mergeCell ref="S171:T171"/>
    <mergeCell ref="U171:Y171"/>
    <mergeCell ref="D170:F170"/>
    <mergeCell ref="H170:J170"/>
    <mergeCell ref="L170:M170"/>
    <mergeCell ref="Q170:R170"/>
    <mergeCell ref="S170:T170"/>
    <mergeCell ref="U170:Y170"/>
    <mergeCell ref="A175:D175"/>
    <mergeCell ref="E175:G175"/>
    <mergeCell ref="H175:M175"/>
    <mergeCell ref="Q175:R175"/>
    <mergeCell ref="S175:T175"/>
    <mergeCell ref="U175:Y175"/>
    <mergeCell ref="D174:F174"/>
    <mergeCell ref="H174:J174"/>
    <mergeCell ref="L174:M174"/>
    <mergeCell ref="Q174:R174"/>
    <mergeCell ref="S174:T174"/>
    <mergeCell ref="U174:Y174"/>
    <mergeCell ref="D173:F173"/>
    <mergeCell ref="H173:J173"/>
    <mergeCell ref="L173:M173"/>
    <mergeCell ref="Q173:R173"/>
    <mergeCell ref="S173:T173"/>
    <mergeCell ref="U173:Y173"/>
    <mergeCell ref="D180:F180"/>
    <mergeCell ref="H180:J180"/>
    <mergeCell ref="L180:M180"/>
    <mergeCell ref="Q180:R180"/>
    <mergeCell ref="S180:T180"/>
    <mergeCell ref="U180:Y180"/>
    <mergeCell ref="U178:Y178"/>
    <mergeCell ref="D179:F179"/>
    <mergeCell ref="H179:J179"/>
    <mergeCell ref="L179:M179"/>
    <mergeCell ref="Q179:R179"/>
    <mergeCell ref="S179:T179"/>
    <mergeCell ref="U179:Y179"/>
    <mergeCell ref="A176:Y176"/>
    <mergeCell ref="A177:B177"/>
    <mergeCell ref="E177:G177"/>
    <mergeCell ref="H177:T177"/>
    <mergeCell ref="U177:Y177"/>
    <mergeCell ref="D178:F178"/>
    <mergeCell ref="H178:J178"/>
    <mergeCell ref="L178:M178"/>
    <mergeCell ref="Q178:R178"/>
    <mergeCell ref="S178:T178"/>
    <mergeCell ref="A183:D183"/>
    <mergeCell ref="E183:G183"/>
    <mergeCell ref="H183:M183"/>
    <mergeCell ref="Q183:R183"/>
    <mergeCell ref="S183:T183"/>
    <mergeCell ref="U183:Y183"/>
    <mergeCell ref="D182:F182"/>
    <mergeCell ref="H182:J182"/>
    <mergeCell ref="L182:M182"/>
    <mergeCell ref="Q182:R182"/>
    <mergeCell ref="S182:T182"/>
    <mergeCell ref="U182:Y182"/>
    <mergeCell ref="D181:F181"/>
    <mergeCell ref="H181:J181"/>
    <mergeCell ref="L181:M181"/>
    <mergeCell ref="Q181:R181"/>
    <mergeCell ref="S181:T181"/>
    <mergeCell ref="U181:Y181"/>
    <mergeCell ref="D188:F188"/>
    <mergeCell ref="H188:J188"/>
    <mergeCell ref="L188:M188"/>
    <mergeCell ref="Q188:R188"/>
    <mergeCell ref="S188:T188"/>
    <mergeCell ref="U188:Y188"/>
    <mergeCell ref="U186:Y186"/>
    <mergeCell ref="D187:F187"/>
    <mergeCell ref="H187:J187"/>
    <mergeCell ref="L187:M187"/>
    <mergeCell ref="Q187:R187"/>
    <mergeCell ref="S187:T187"/>
    <mergeCell ref="U187:Y187"/>
    <mergeCell ref="A184:Y184"/>
    <mergeCell ref="A185:B185"/>
    <mergeCell ref="E185:G185"/>
    <mergeCell ref="H185:T185"/>
    <mergeCell ref="U185:Y185"/>
    <mergeCell ref="D186:F186"/>
    <mergeCell ref="H186:J186"/>
    <mergeCell ref="L186:M186"/>
    <mergeCell ref="Q186:R186"/>
    <mergeCell ref="S186:T186"/>
    <mergeCell ref="D191:F191"/>
    <mergeCell ref="H191:J191"/>
    <mergeCell ref="L191:M191"/>
    <mergeCell ref="Q191:R191"/>
    <mergeCell ref="S191:T191"/>
    <mergeCell ref="U191:Y191"/>
    <mergeCell ref="D190:F190"/>
    <mergeCell ref="H190:J190"/>
    <mergeCell ref="L190:M190"/>
    <mergeCell ref="Q190:R190"/>
    <mergeCell ref="S190:T190"/>
    <mergeCell ref="U190:Y190"/>
    <mergeCell ref="D189:F189"/>
    <mergeCell ref="H189:J189"/>
    <mergeCell ref="L189:M189"/>
    <mergeCell ref="Q189:R189"/>
    <mergeCell ref="S189:T189"/>
    <mergeCell ref="U189:Y189"/>
    <mergeCell ref="D194:F194"/>
    <mergeCell ref="H194:J194"/>
    <mergeCell ref="L194:M194"/>
    <mergeCell ref="Q194:R194"/>
    <mergeCell ref="S194:T194"/>
    <mergeCell ref="U194:Y194"/>
    <mergeCell ref="D193:F193"/>
    <mergeCell ref="H193:J193"/>
    <mergeCell ref="L193:M193"/>
    <mergeCell ref="Q193:R193"/>
    <mergeCell ref="S193:T193"/>
    <mergeCell ref="U193:Y193"/>
    <mergeCell ref="D192:F192"/>
    <mergeCell ref="H192:J192"/>
    <mergeCell ref="L192:M192"/>
    <mergeCell ref="Q192:R192"/>
    <mergeCell ref="S192:T192"/>
    <mergeCell ref="U192:Y192"/>
    <mergeCell ref="D197:F197"/>
    <mergeCell ref="H197:J197"/>
    <mergeCell ref="L197:M197"/>
    <mergeCell ref="Q197:R197"/>
    <mergeCell ref="S197:T197"/>
    <mergeCell ref="U197:Y197"/>
    <mergeCell ref="D196:F196"/>
    <mergeCell ref="H196:J196"/>
    <mergeCell ref="L196:M196"/>
    <mergeCell ref="Q196:R196"/>
    <mergeCell ref="S196:T196"/>
    <mergeCell ref="U196:Y196"/>
    <mergeCell ref="D195:F195"/>
    <mergeCell ref="H195:J195"/>
    <mergeCell ref="L195:M195"/>
    <mergeCell ref="Q195:R195"/>
    <mergeCell ref="S195:T195"/>
    <mergeCell ref="U195:Y195"/>
    <mergeCell ref="D200:F200"/>
    <mergeCell ref="H200:J200"/>
    <mergeCell ref="L200:M200"/>
    <mergeCell ref="Q200:R200"/>
    <mergeCell ref="S200:T200"/>
    <mergeCell ref="U200:Y200"/>
    <mergeCell ref="D199:F199"/>
    <mergeCell ref="H199:J199"/>
    <mergeCell ref="L199:M199"/>
    <mergeCell ref="Q199:R199"/>
    <mergeCell ref="S199:T199"/>
    <mergeCell ref="U199:Y199"/>
    <mergeCell ref="D198:F198"/>
    <mergeCell ref="H198:J198"/>
    <mergeCell ref="L198:M198"/>
    <mergeCell ref="Q198:R198"/>
    <mergeCell ref="S198:T198"/>
    <mergeCell ref="U198:Y198"/>
    <mergeCell ref="D203:F203"/>
    <mergeCell ref="H203:J203"/>
    <mergeCell ref="L203:M203"/>
    <mergeCell ref="Q203:R203"/>
    <mergeCell ref="S203:T203"/>
    <mergeCell ref="U203:Y203"/>
    <mergeCell ref="D202:F202"/>
    <mergeCell ref="H202:J202"/>
    <mergeCell ref="L202:M202"/>
    <mergeCell ref="Q202:R202"/>
    <mergeCell ref="S202:T202"/>
    <mergeCell ref="U202:Y202"/>
    <mergeCell ref="D201:F201"/>
    <mergeCell ref="H201:J201"/>
    <mergeCell ref="L201:M201"/>
    <mergeCell ref="Q201:R201"/>
    <mergeCell ref="S201:T201"/>
    <mergeCell ref="U201:Y201"/>
    <mergeCell ref="A206:D206"/>
    <mergeCell ref="E206:G206"/>
    <mergeCell ref="H206:M206"/>
    <mergeCell ref="Q206:R206"/>
    <mergeCell ref="S206:T206"/>
    <mergeCell ref="U206:Y206"/>
    <mergeCell ref="D205:F205"/>
    <mergeCell ref="H205:J205"/>
    <mergeCell ref="L205:M205"/>
    <mergeCell ref="Q205:R205"/>
    <mergeCell ref="S205:T205"/>
    <mergeCell ref="U205:Y205"/>
    <mergeCell ref="D204:F204"/>
    <mergeCell ref="H204:J204"/>
    <mergeCell ref="L204:M204"/>
    <mergeCell ref="Q204:R204"/>
    <mergeCell ref="S204:T204"/>
    <mergeCell ref="U204:Y204"/>
    <mergeCell ref="U209:Y209"/>
    <mergeCell ref="D210:F210"/>
    <mergeCell ref="H210:J210"/>
    <mergeCell ref="L210:M210"/>
    <mergeCell ref="Q210:R210"/>
    <mergeCell ref="S210:T210"/>
    <mergeCell ref="U210:Y210"/>
    <mergeCell ref="A207:Y207"/>
    <mergeCell ref="A208:B208"/>
    <mergeCell ref="E208:G208"/>
    <mergeCell ref="H208:T208"/>
    <mergeCell ref="U208:Y208"/>
    <mergeCell ref="D209:F209"/>
    <mergeCell ref="H209:J209"/>
    <mergeCell ref="L209:M209"/>
    <mergeCell ref="Q209:R209"/>
    <mergeCell ref="S209:T209"/>
    <mergeCell ref="D213:F213"/>
    <mergeCell ref="H213:J213"/>
    <mergeCell ref="L213:M213"/>
    <mergeCell ref="Q213:R213"/>
    <mergeCell ref="S213:T213"/>
    <mergeCell ref="U213:Y213"/>
    <mergeCell ref="D212:F212"/>
    <mergeCell ref="H212:J212"/>
    <mergeCell ref="L212:M212"/>
    <mergeCell ref="Q212:R212"/>
    <mergeCell ref="S212:T212"/>
    <mergeCell ref="U212:Y212"/>
    <mergeCell ref="D211:F211"/>
    <mergeCell ref="H211:J211"/>
    <mergeCell ref="L211:M211"/>
    <mergeCell ref="Q211:R211"/>
    <mergeCell ref="S211:T211"/>
    <mergeCell ref="U211:Y211"/>
    <mergeCell ref="A216:Y216"/>
    <mergeCell ref="A217:B217"/>
    <mergeCell ref="E217:G217"/>
    <mergeCell ref="H217:T217"/>
    <mergeCell ref="U217:Y217"/>
    <mergeCell ref="D218:F218"/>
    <mergeCell ref="H218:J218"/>
    <mergeCell ref="L218:M218"/>
    <mergeCell ref="Q218:R218"/>
    <mergeCell ref="S218:T218"/>
    <mergeCell ref="A215:D215"/>
    <mergeCell ref="E215:G215"/>
    <mergeCell ref="H215:M215"/>
    <mergeCell ref="Q215:R215"/>
    <mergeCell ref="S215:T215"/>
    <mergeCell ref="U215:Y215"/>
    <mergeCell ref="D214:F214"/>
    <mergeCell ref="H214:J214"/>
    <mergeCell ref="L214:M214"/>
    <mergeCell ref="Q214:R214"/>
    <mergeCell ref="S214:T214"/>
    <mergeCell ref="U214:Y214"/>
    <mergeCell ref="D221:F221"/>
    <mergeCell ref="H221:J221"/>
    <mergeCell ref="L221:M221"/>
    <mergeCell ref="Q221:R221"/>
    <mergeCell ref="S221:T221"/>
    <mergeCell ref="U221:Y221"/>
    <mergeCell ref="D220:F220"/>
    <mergeCell ref="H220:J220"/>
    <mergeCell ref="L220:M220"/>
    <mergeCell ref="Q220:R220"/>
    <mergeCell ref="S220:T220"/>
    <mergeCell ref="U220:Y220"/>
    <mergeCell ref="U218:Y218"/>
    <mergeCell ref="D219:F219"/>
    <mergeCell ref="H219:J219"/>
    <mergeCell ref="L219:M219"/>
    <mergeCell ref="Q219:R219"/>
    <mergeCell ref="S219:T219"/>
    <mergeCell ref="U219:Y219"/>
    <mergeCell ref="D224:F224"/>
    <mergeCell ref="H224:J224"/>
    <mergeCell ref="L224:M224"/>
    <mergeCell ref="Q224:R224"/>
    <mergeCell ref="S224:T224"/>
    <mergeCell ref="U224:Y224"/>
    <mergeCell ref="D223:F223"/>
    <mergeCell ref="H223:J223"/>
    <mergeCell ref="L223:M223"/>
    <mergeCell ref="Q223:R223"/>
    <mergeCell ref="S223:T223"/>
    <mergeCell ref="U223:Y223"/>
    <mergeCell ref="D222:F222"/>
    <mergeCell ref="H222:J222"/>
    <mergeCell ref="L222:M222"/>
    <mergeCell ref="Q222:R222"/>
    <mergeCell ref="S222:T222"/>
    <mergeCell ref="U222:Y222"/>
    <mergeCell ref="A227:Y227"/>
    <mergeCell ref="A228:B228"/>
    <mergeCell ref="E228:G228"/>
    <mergeCell ref="H228:T228"/>
    <mergeCell ref="U228:Y228"/>
    <mergeCell ref="D229:F229"/>
    <mergeCell ref="H229:J229"/>
    <mergeCell ref="L229:M229"/>
    <mergeCell ref="Q229:R229"/>
    <mergeCell ref="S229:T229"/>
    <mergeCell ref="A226:D226"/>
    <mergeCell ref="E226:G226"/>
    <mergeCell ref="H226:M226"/>
    <mergeCell ref="Q226:R226"/>
    <mergeCell ref="S226:T226"/>
    <mergeCell ref="U226:Y226"/>
    <mergeCell ref="D225:F225"/>
    <mergeCell ref="H225:J225"/>
    <mergeCell ref="L225:M225"/>
    <mergeCell ref="Q225:R225"/>
    <mergeCell ref="S225:T225"/>
    <mergeCell ref="U225:Y225"/>
    <mergeCell ref="A232:Y232"/>
    <mergeCell ref="A233:B233"/>
    <mergeCell ref="E233:G233"/>
    <mergeCell ref="H233:T233"/>
    <mergeCell ref="U233:Y233"/>
    <mergeCell ref="D234:F234"/>
    <mergeCell ref="H234:J234"/>
    <mergeCell ref="L234:M234"/>
    <mergeCell ref="Q234:R234"/>
    <mergeCell ref="S234:T234"/>
    <mergeCell ref="A231:D231"/>
    <mergeCell ref="E231:G231"/>
    <mergeCell ref="H231:M231"/>
    <mergeCell ref="Q231:R231"/>
    <mergeCell ref="S231:T231"/>
    <mergeCell ref="U231:Y231"/>
    <mergeCell ref="U229:Y229"/>
    <mergeCell ref="D230:F230"/>
    <mergeCell ref="H230:J230"/>
    <mergeCell ref="L230:M230"/>
    <mergeCell ref="Q230:R230"/>
    <mergeCell ref="S230:T230"/>
    <mergeCell ref="U230:Y230"/>
    <mergeCell ref="D237:F237"/>
    <mergeCell ref="H237:J237"/>
    <mergeCell ref="L237:M237"/>
    <mergeCell ref="Q237:R237"/>
    <mergeCell ref="S237:T237"/>
    <mergeCell ref="U237:Y237"/>
    <mergeCell ref="D236:F236"/>
    <mergeCell ref="H236:J236"/>
    <mergeCell ref="L236:M236"/>
    <mergeCell ref="Q236:R236"/>
    <mergeCell ref="S236:T236"/>
    <mergeCell ref="U236:Y236"/>
    <mergeCell ref="U234:Y234"/>
    <mergeCell ref="D235:F235"/>
    <mergeCell ref="H235:J235"/>
    <mergeCell ref="L235:M235"/>
    <mergeCell ref="Q235:R235"/>
    <mergeCell ref="S235:T235"/>
    <mergeCell ref="U235:Y235"/>
    <mergeCell ref="A240:D240"/>
    <mergeCell ref="E240:G240"/>
    <mergeCell ref="H240:M240"/>
    <mergeCell ref="Q240:R240"/>
    <mergeCell ref="S240:T240"/>
    <mergeCell ref="U240:Y240"/>
    <mergeCell ref="D239:F239"/>
    <mergeCell ref="H239:J239"/>
    <mergeCell ref="L239:M239"/>
    <mergeCell ref="Q239:R239"/>
    <mergeCell ref="S239:T239"/>
    <mergeCell ref="U239:Y239"/>
    <mergeCell ref="D238:F238"/>
    <mergeCell ref="H238:J238"/>
    <mergeCell ref="L238:M238"/>
    <mergeCell ref="Q238:R238"/>
    <mergeCell ref="S238:T238"/>
    <mergeCell ref="U238:Y238"/>
    <mergeCell ref="U243:Y243"/>
    <mergeCell ref="D244:F244"/>
    <mergeCell ref="H244:J244"/>
    <mergeCell ref="L244:M244"/>
    <mergeCell ref="Q244:R244"/>
    <mergeCell ref="S244:T244"/>
    <mergeCell ref="U244:Y244"/>
    <mergeCell ref="A241:Y241"/>
    <mergeCell ref="A242:B242"/>
    <mergeCell ref="E242:G242"/>
    <mergeCell ref="H242:T242"/>
    <mergeCell ref="U242:Y242"/>
    <mergeCell ref="D243:F243"/>
    <mergeCell ref="H243:J243"/>
    <mergeCell ref="L243:M243"/>
    <mergeCell ref="Q243:R243"/>
    <mergeCell ref="S243:T243"/>
    <mergeCell ref="A247:D247"/>
    <mergeCell ref="E247:G247"/>
    <mergeCell ref="H247:M247"/>
    <mergeCell ref="Q247:R247"/>
    <mergeCell ref="S247:T247"/>
    <mergeCell ref="U247:Y247"/>
    <mergeCell ref="D246:F246"/>
    <mergeCell ref="H246:J246"/>
    <mergeCell ref="L246:M246"/>
    <mergeCell ref="Q246:R246"/>
    <mergeCell ref="S246:T246"/>
    <mergeCell ref="U246:Y246"/>
    <mergeCell ref="D245:F245"/>
    <mergeCell ref="H245:J245"/>
    <mergeCell ref="L245:M245"/>
    <mergeCell ref="Q245:R245"/>
    <mergeCell ref="S245:T245"/>
    <mergeCell ref="U245:Y245"/>
    <mergeCell ref="A253:Y253"/>
    <mergeCell ref="A252:Y252"/>
    <mergeCell ref="U250:Y250"/>
    <mergeCell ref="A251:D251"/>
    <mergeCell ref="E251:G251"/>
    <mergeCell ref="H251:M251"/>
    <mergeCell ref="Q251:R251"/>
    <mergeCell ref="S251:T251"/>
    <mergeCell ref="U251:Y251"/>
    <mergeCell ref="A248:Y248"/>
    <mergeCell ref="A249:B249"/>
    <mergeCell ref="E249:G249"/>
    <mergeCell ref="H249:T249"/>
    <mergeCell ref="U249:Y249"/>
    <mergeCell ref="D250:F250"/>
    <mergeCell ref="H250:J250"/>
    <mergeCell ref="L250:M250"/>
    <mergeCell ref="Q250:R250"/>
    <mergeCell ref="S250:T250"/>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6F72-65A7-436F-A74E-6F7DE56E89A0}">
  <sheetPr>
    <tabColor theme="7"/>
  </sheetPr>
  <dimension ref="A1:Q115"/>
  <sheetViews>
    <sheetView topLeftCell="A43" workbookViewId="0">
      <selection activeCell="G32" sqref="G32"/>
    </sheetView>
  </sheetViews>
  <sheetFormatPr defaultRowHeight="12.75" x14ac:dyDescent="0.2"/>
  <cols>
    <col min="1" max="1" width="13.85546875" bestFit="1" customWidth="1"/>
    <col min="2" max="2" width="43.7109375" bestFit="1" customWidth="1"/>
    <col min="3" max="3" width="14.42578125" bestFit="1" customWidth="1"/>
    <col min="4" max="4" width="11" bestFit="1" customWidth="1"/>
    <col min="6" max="6" width="30.5703125" customWidth="1"/>
    <col min="7" max="7" width="25.42578125" customWidth="1"/>
    <col min="9" max="9" width="14.7109375" bestFit="1" customWidth="1"/>
    <col min="10" max="10" width="22" customWidth="1"/>
    <col min="11" max="11" width="35.28515625" customWidth="1"/>
    <col min="16" max="16" width="11" style="468" bestFit="1" customWidth="1"/>
  </cols>
  <sheetData>
    <row r="1" spans="1:17" ht="15" x14ac:dyDescent="0.25">
      <c r="A1" s="196" t="s">
        <v>1021</v>
      </c>
      <c r="B1" s="196" t="s">
        <v>1022</v>
      </c>
      <c r="C1" s="196" t="s">
        <v>1023</v>
      </c>
      <c r="D1" s="196" t="s">
        <v>1024</v>
      </c>
      <c r="E1" s="196" t="s">
        <v>299</v>
      </c>
      <c r="F1" s="196" t="s">
        <v>1025</v>
      </c>
      <c r="G1" s="196" t="s">
        <v>1026</v>
      </c>
      <c r="H1" s="196" t="s">
        <v>1027</v>
      </c>
      <c r="I1" s="196" t="s">
        <v>1028</v>
      </c>
      <c r="J1" s="196" t="s">
        <v>1029</v>
      </c>
      <c r="K1" s="196" t="s">
        <v>1030</v>
      </c>
      <c r="L1" s="196" t="s">
        <v>1031</v>
      </c>
      <c r="M1" s="196" t="s">
        <v>1032</v>
      </c>
      <c r="N1" s="196" t="s">
        <v>1033</v>
      </c>
      <c r="O1" s="196" t="s">
        <v>1034</v>
      </c>
      <c r="P1" s="467" t="s">
        <v>1035</v>
      </c>
      <c r="Q1" s="196" t="s">
        <v>1036</v>
      </c>
    </row>
    <row r="2" spans="1:17" x14ac:dyDescent="0.2">
      <c r="A2">
        <v>3605</v>
      </c>
      <c r="B2" t="s">
        <v>1037</v>
      </c>
      <c r="C2" t="s">
        <v>1038</v>
      </c>
      <c r="D2" t="s">
        <v>1039</v>
      </c>
      <c r="E2">
        <v>100</v>
      </c>
      <c r="F2" t="s">
        <v>1040</v>
      </c>
      <c r="G2" t="s">
        <v>1041</v>
      </c>
      <c r="H2" t="s">
        <v>1042</v>
      </c>
      <c r="I2" s="199">
        <v>44231</v>
      </c>
      <c r="J2" t="s">
        <v>1043</v>
      </c>
      <c r="K2" t="s">
        <v>1044</v>
      </c>
      <c r="L2" s="214">
        <v>10.85</v>
      </c>
      <c r="M2" s="214">
        <v>1.63</v>
      </c>
      <c r="N2" s="214">
        <v>12.48</v>
      </c>
      <c r="O2" s="466">
        <v>44166</v>
      </c>
      <c r="P2" s="468">
        <v>9156</v>
      </c>
      <c r="Q2" t="s">
        <v>861</v>
      </c>
    </row>
    <row r="3" spans="1:17" x14ac:dyDescent="0.2">
      <c r="A3">
        <v>3610</v>
      </c>
      <c r="B3" t="s">
        <v>1037</v>
      </c>
      <c r="C3" t="s">
        <v>1045</v>
      </c>
      <c r="E3">
        <v>100</v>
      </c>
      <c r="F3" t="s">
        <v>1040</v>
      </c>
      <c r="G3" t="s">
        <v>1041</v>
      </c>
      <c r="H3" t="s">
        <v>1042</v>
      </c>
      <c r="I3" s="199">
        <v>44231</v>
      </c>
      <c r="J3" t="s">
        <v>1043</v>
      </c>
      <c r="K3" t="s">
        <v>1044</v>
      </c>
      <c r="L3" s="214">
        <v>334</v>
      </c>
      <c r="M3" s="214">
        <v>50.1</v>
      </c>
      <c r="N3" s="214">
        <v>384.1</v>
      </c>
      <c r="O3" s="466">
        <v>44166</v>
      </c>
      <c r="P3" s="468">
        <v>9156</v>
      </c>
      <c r="Q3" t="s">
        <v>861</v>
      </c>
    </row>
    <row r="4" spans="1:17" x14ac:dyDescent="0.2">
      <c r="A4">
        <v>3605</v>
      </c>
      <c r="B4" t="s">
        <v>1037</v>
      </c>
      <c r="C4" t="s">
        <v>1038</v>
      </c>
      <c r="D4" t="s">
        <v>1046</v>
      </c>
      <c r="E4">
        <v>100</v>
      </c>
      <c r="F4" t="s">
        <v>1040</v>
      </c>
      <c r="G4" t="s">
        <v>1041</v>
      </c>
      <c r="H4" t="s">
        <v>1042</v>
      </c>
      <c r="I4" s="199">
        <v>44231</v>
      </c>
      <c r="J4" t="s">
        <v>1043</v>
      </c>
      <c r="K4" t="s">
        <v>1044</v>
      </c>
      <c r="L4">
        <v>10</v>
      </c>
      <c r="M4">
        <v>1.5</v>
      </c>
      <c r="N4">
        <v>11.5</v>
      </c>
      <c r="O4" s="466">
        <v>44197</v>
      </c>
      <c r="P4" s="468" t="s">
        <v>1047</v>
      </c>
      <c r="Q4" t="s">
        <v>871</v>
      </c>
    </row>
    <row r="5" spans="1:17" x14ac:dyDescent="0.2">
      <c r="A5">
        <v>3605</v>
      </c>
      <c r="B5" t="s">
        <v>1037</v>
      </c>
      <c r="C5" t="s">
        <v>1038</v>
      </c>
      <c r="D5" t="s">
        <v>1048</v>
      </c>
      <c r="E5">
        <v>100</v>
      </c>
      <c r="F5" t="s">
        <v>1040</v>
      </c>
      <c r="G5" t="s">
        <v>1041</v>
      </c>
      <c r="H5" t="s">
        <v>1042</v>
      </c>
      <c r="I5" s="199">
        <v>44242</v>
      </c>
      <c r="J5" t="s">
        <v>1043</v>
      </c>
      <c r="K5" t="s">
        <v>1049</v>
      </c>
      <c r="L5">
        <v>21.35</v>
      </c>
      <c r="M5">
        <v>3.2</v>
      </c>
      <c r="N5">
        <v>24.55</v>
      </c>
      <c r="O5" s="466">
        <v>44197</v>
      </c>
      <c r="P5" s="468" t="s">
        <v>1047</v>
      </c>
      <c r="Q5" t="s">
        <v>871</v>
      </c>
    </row>
    <row r="6" spans="1:17" x14ac:dyDescent="0.2">
      <c r="A6">
        <v>3610</v>
      </c>
      <c r="B6" t="s">
        <v>1037</v>
      </c>
      <c r="C6" t="s">
        <v>1045</v>
      </c>
      <c r="E6">
        <v>100</v>
      </c>
      <c r="F6" t="s">
        <v>1040</v>
      </c>
      <c r="G6" t="s">
        <v>1041</v>
      </c>
      <c r="H6" t="s">
        <v>1042</v>
      </c>
      <c r="I6" s="199">
        <v>44231</v>
      </c>
      <c r="J6" t="s">
        <v>1043</v>
      </c>
      <c r="K6" t="s">
        <v>1044</v>
      </c>
      <c r="L6">
        <v>31.62</v>
      </c>
      <c r="M6">
        <v>4.74</v>
      </c>
      <c r="N6">
        <v>36.36</v>
      </c>
      <c r="O6" s="466">
        <v>44197</v>
      </c>
      <c r="P6" s="468" t="s">
        <v>1047</v>
      </c>
      <c r="Q6" t="s">
        <v>871</v>
      </c>
    </row>
    <row r="7" spans="1:17" x14ac:dyDescent="0.2">
      <c r="A7">
        <v>3610</v>
      </c>
      <c r="B7" t="s">
        <v>1037</v>
      </c>
      <c r="C7" t="s">
        <v>1045</v>
      </c>
      <c r="E7">
        <v>100</v>
      </c>
      <c r="F7" t="s">
        <v>1040</v>
      </c>
      <c r="G7" t="s">
        <v>1041</v>
      </c>
      <c r="H7" t="s">
        <v>1042</v>
      </c>
      <c r="I7" s="199">
        <v>44242</v>
      </c>
      <c r="J7" t="s">
        <v>1043</v>
      </c>
      <c r="K7" t="s">
        <v>1049</v>
      </c>
      <c r="L7">
        <v>348.93</v>
      </c>
      <c r="M7">
        <v>52.34</v>
      </c>
      <c r="N7">
        <v>401.27</v>
      </c>
      <c r="O7" s="466">
        <v>44197</v>
      </c>
      <c r="P7" s="468" t="s">
        <v>1047</v>
      </c>
      <c r="Q7" t="s">
        <v>871</v>
      </c>
    </row>
    <row r="8" spans="1:17" x14ac:dyDescent="0.2">
      <c r="A8">
        <v>3605</v>
      </c>
      <c r="B8" t="s">
        <v>1037</v>
      </c>
      <c r="C8" t="s">
        <v>1038</v>
      </c>
      <c r="D8" t="s">
        <v>1050</v>
      </c>
      <c r="E8">
        <v>100</v>
      </c>
      <c r="F8" t="s">
        <v>1040</v>
      </c>
      <c r="G8" t="s">
        <v>1041</v>
      </c>
      <c r="H8" t="s">
        <v>1042</v>
      </c>
      <c r="I8" s="199">
        <v>44242</v>
      </c>
      <c r="J8" t="s">
        <v>1043</v>
      </c>
      <c r="K8" t="s">
        <v>1049</v>
      </c>
      <c r="L8">
        <v>30</v>
      </c>
      <c r="M8">
        <v>4.5</v>
      </c>
      <c r="N8">
        <v>34.5</v>
      </c>
      <c r="O8" s="466">
        <v>44228</v>
      </c>
      <c r="P8" s="468" t="s">
        <v>1051</v>
      </c>
      <c r="Q8" t="s">
        <v>897</v>
      </c>
    </row>
    <row r="9" spans="1:17" x14ac:dyDescent="0.2">
      <c r="A9">
        <v>3605</v>
      </c>
      <c r="B9" t="s">
        <v>1037</v>
      </c>
      <c r="C9" t="s">
        <v>1038</v>
      </c>
      <c r="D9" t="s">
        <v>1046</v>
      </c>
      <c r="E9">
        <v>100</v>
      </c>
      <c r="F9" t="s">
        <v>1040</v>
      </c>
      <c r="G9" t="s">
        <v>1041</v>
      </c>
      <c r="H9" t="s">
        <v>1042</v>
      </c>
      <c r="I9" s="199">
        <v>44242</v>
      </c>
      <c r="J9" t="s">
        <v>1043</v>
      </c>
      <c r="K9" t="s">
        <v>1049</v>
      </c>
      <c r="L9">
        <v>10</v>
      </c>
      <c r="M9">
        <v>1.5</v>
      </c>
      <c r="N9">
        <v>11.5</v>
      </c>
      <c r="O9" s="466">
        <v>44228</v>
      </c>
      <c r="P9" s="468" t="s">
        <v>1051</v>
      </c>
      <c r="Q9" t="s">
        <v>897</v>
      </c>
    </row>
    <row r="10" spans="1:17" x14ac:dyDescent="0.2">
      <c r="A10">
        <v>3605</v>
      </c>
      <c r="B10" t="s">
        <v>1037</v>
      </c>
      <c r="C10" t="s">
        <v>1038</v>
      </c>
      <c r="D10" t="s">
        <v>1046</v>
      </c>
      <c r="E10">
        <v>100</v>
      </c>
      <c r="F10" t="s">
        <v>1040</v>
      </c>
      <c r="G10" t="s">
        <v>1041</v>
      </c>
      <c r="H10" t="s">
        <v>1042</v>
      </c>
      <c r="I10" s="199">
        <v>44242</v>
      </c>
      <c r="J10" t="s">
        <v>1043</v>
      </c>
      <c r="K10" t="s">
        <v>1049</v>
      </c>
      <c r="L10">
        <v>10</v>
      </c>
      <c r="M10">
        <v>1.5</v>
      </c>
      <c r="N10">
        <v>11.5</v>
      </c>
      <c r="O10" s="466">
        <v>44228</v>
      </c>
      <c r="P10" s="468" t="s">
        <v>1051</v>
      </c>
      <c r="Q10" t="s">
        <v>897</v>
      </c>
    </row>
    <row r="11" spans="1:17" x14ac:dyDescent="0.2">
      <c r="A11">
        <v>3605</v>
      </c>
      <c r="B11" t="s">
        <v>1037</v>
      </c>
      <c r="C11" t="s">
        <v>1038</v>
      </c>
      <c r="D11" t="s">
        <v>1039</v>
      </c>
      <c r="E11">
        <v>110</v>
      </c>
      <c r="F11" t="s">
        <v>1040</v>
      </c>
      <c r="G11" t="s">
        <v>1041</v>
      </c>
      <c r="H11" t="s">
        <v>1042</v>
      </c>
      <c r="I11" s="199">
        <v>44259</v>
      </c>
      <c r="J11" t="s">
        <v>1043</v>
      </c>
      <c r="K11" t="s">
        <v>1052</v>
      </c>
      <c r="L11">
        <v>5.85</v>
      </c>
      <c r="M11">
        <v>0.88</v>
      </c>
      <c r="N11">
        <v>6.73</v>
      </c>
      <c r="O11" s="466">
        <v>44228</v>
      </c>
      <c r="P11" s="468" t="s">
        <v>1051</v>
      </c>
      <c r="Q11" t="s">
        <v>897</v>
      </c>
    </row>
    <row r="12" spans="1:17" x14ac:dyDescent="0.2">
      <c r="A12">
        <v>3610</v>
      </c>
      <c r="B12" t="s">
        <v>1037</v>
      </c>
      <c r="C12" t="s">
        <v>1045</v>
      </c>
      <c r="E12">
        <v>100</v>
      </c>
      <c r="F12" t="s">
        <v>1040</v>
      </c>
      <c r="G12" t="s">
        <v>1041</v>
      </c>
      <c r="H12" t="s">
        <v>1042</v>
      </c>
      <c r="I12" s="199">
        <v>44231</v>
      </c>
      <c r="J12" t="s">
        <v>1043</v>
      </c>
      <c r="K12" t="s">
        <v>1044</v>
      </c>
      <c r="L12">
        <v>-365.62</v>
      </c>
      <c r="M12">
        <v>-54.84</v>
      </c>
      <c r="N12">
        <v>-420.46</v>
      </c>
      <c r="O12" s="466">
        <v>44228</v>
      </c>
      <c r="P12" s="468" t="s">
        <v>1051</v>
      </c>
      <c r="Q12" t="s">
        <v>897</v>
      </c>
    </row>
    <row r="13" spans="1:17" x14ac:dyDescent="0.2">
      <c r="A13">
        <v>3610</v>
      </c>
      <c r="B13" t="s">
        <v>1037</v>
      </c>
      <c r="C13" t="s">
        <v>1045</v>
      </c>
      <c r="E13">
        <v>100</v>
      </c>
      <c r="F13" t="s">
        <v>1040</v>
      </c>
      <c r="G13" t="s">
        <v>1041</v>
      </c>
      <c r="H13" t="s">
        <v>1042</v>
      </c>
      <c r="I13" s="199">
        <v>44242</v>
      </c>
      <c r="J13" t="s">
        <v>1043</v>
      </c>
      <c r="K13" t="s">
        <v>1049</v>
      </c>
      <c r="L13">
        <v>66.790000000000006</v>
      </c>
      <c r="M13">
        <v>10.02</v>
      </c>
      <c r="N13">
        <v>76.81</v>
      </c>
      <c r="O13" s="466">
        <v>44228</v>
      </c>
      <c r="P13" s="468" t="s">
        <v>1051</v>
      </c>
      <c r="Q13" t="s">
        <v>897</v>
      </c>
    </row>
    <row r="14" spans="1:17" x14ac:dyDescent="0.2">
      <c r="A14">
        <v>3610</v>
      </c>
      <c r="B14" t="s">
        <v>1037</v>
      </c>
      <c r="C14" t="s">
        <v>1045</v>
      </c>
      <c r="E14">
        <v>100</v>
      </c>
      <c r="F14" t="s">
        <v>1040</v>
      </c>
      <c r="G14" t="s">
        <v>1041</v>
      </c>
      <c r="H14" t="s">
        <v>1042</v>
      </c>
      <c r="I14" s="199">
        <v>44242</v>
      </c>
      <c r="J14" t="s">
        <v>1043</v>
      </c>
      <c r="K14" t="s">
        <v>1049</v>
      </c>
      <c r="L14">
        <v>-415.72</v>
      </c>
      <c r="M14">
        <v>-62.36</v>
      </c>
      <c r="N14">
        <v>-478.08</v>
      </c>
      <c r="O14" s="466">
        <v>44228</v>
      </c>
      <c r="P14" s="468" t="s">
        <v>1051</v>
      </c>
      <c r="Q14" t="s">
        <v>897</v>
      </c>
    </row>
    <row r="15" spans="1:17" x14ac:dyDescent="0.2">
      <c r="A15">
        <v>3610</v>
      </c>
      <c r="B15" t="s">
        <v>1037</v>
      </c>
      <c r="C15" t="s">
        <v>1045</v>
      </c>
      <c r="E15">
        <v>110</v>
      </c>
      <c r="F15" t="s">
        <v>1040</v>
      </c>
      <c r="G15" t="s">
        <v>1041</v>
      </c>
      <c r="H15" t="s">
        <v>1042</v>
      </c>
      <c r="I15" s="199">
        <v>44259</v>
      </c>
      <c r="J15" t="s">
        <v>1043</v>
      </c>
      <c r="K15" t="s">
        <v>1052</v>
      </c>
      <c r="L15">
        <v>512.20000000000005</v>
      </c>
      <c r="M15">
        <v>76.83</v>
      </c>
      <c r="N15">
        <v>589.03</v>
      </c>
      <c r="O15" s="466">
        <v>44228</v>
      </c>
      <c r="P15" s="468" t="s">
        <v>1051</v>
      </c>
      <c r="Q15" t="s">
        <v>897</v>
      </c>
    </row>
    <row r="16" spans="1:17" x14ac:dyDescent="0.2">
      <c r="A16">
        <v>3605</v>
      </c>
      <c r="B16" t="s">
        <v>1037</v>
      </c>
      <c r="C16" t="s">
        <v>1038</v>
      </c>
      <c r="D16" t="s">
        <v>1053</v>
      </c>
      <c r="E16">
        <v>100</v>
      </c>
      <c r="F16" t="s">
        <v>1040</v>
      </c>
      <c r="G16" t="s">
        <v>1041</v>
      </c>
      <c r="H16" t="s">
        <v>1042</v>
      </c>
      <c r="I16" s="199">
        <v>44146</v>
      </c>
      <c r="J16" t="s">
        <v>1043</v>
      </c>
      <c r="K16" t="s">
        <v>1054</v>
      </c>
      <c r="L16">
        <v>0.5</v>
      </c>
      <c r="M16">
        <v>0.08</v>
      </c>
      <c r="N16">
        <v>0.57999999999999996</v>
      </c>
      <c r="O16" s="466">
        <v>44501</v>
      </c>
      <c r="P16" s="468" t="s">
        <v>1055</v>
      </c>
      <c r="Q16" t="s">
        <v>878</v>
      </c>
    </row>
    <row r="17" spans="1:17" x14ac:dyDescent="0.2">
      <c r="A17">
        <v>3605</v>
      </c>
      <c r="B17" t="s">
        <v>1037</v>
      </c>
      <c r="C17" t="s">
        <v>1038</v>
      </c>
      <c r="D17" t="s">
        <v>1053</v>
      </c>
      <c r="E17">
        <v>100</v>
      </c>
      <c r="F17" t="s">
        <v>1040</v>
      </c>
      <c r="G17" t="s">
        <v>1041</v>
      </c>
      <c r="H17" t="s">
        <v>1042</v>
      </c>
      <c r="I17" s="199">
        <v>44146</v>
      </c>
      <c r="J17" t="s">
        <v>1043</v>
      </c>
      <c r="K17" t="s">
        <v>1054</v>
      </c>
      <c r="L17">
        <v>0.5</v>
      </c>
      <c r="M17">
        <v>0.08</v>
      </c>
      <c r="N17">
        <v>0.57999999999999996</v>
      </c>
      <c r="O17" s="466">
        <v>44501</v>
      </c>
      <c r="P17" s="468" t="s">
        <v>1055</v>
      </c>
      <c r="Q17" t="s">
        <v>878</v>
      </c>
    </row>
    <row r="18" spans="1:17" x14ac:dyDescent="0.2">
      <c r="A18">
        <v>3625</v>
      </c>
      <c r="B18" t="s">
        <v>1037</v>
      </c>
      <c r="C18" t="s">
        <v>1038</v>
      </c>
      <c r="D18" t="s">
        <v>1056</v>
      </c>
      <c r="E18">
        <v>100</v>
      </c>
      <c r="F18" t="s">
        <v>1040</v>
      </c>
      <c r="G18" t="s">
        <v>1041</v>
      </c>
      <c r="H18" t="s">
        <v>1042</v>
      </c>
      <c r="I18" s="199">
        <v>44146</v>
      </c>
      <c r="J18" t="s">
        <v>1043</v>
      </c>
      <c r="K18" t="s">
        <v>1054</v>
      </c>
      <c r="L18">
        <v>7.5</v>
      </c>
      <c r="M18">
        <v>1.1299999999999999</v>
      </c>
      <c r="N18">
        <v>8.6300000000000008</v>
      </c>
      <c r="O18" s="466">
        <v>44501</v>
      </c>
      <c r="P18" s="468" t="s">
        <v>1055</v>
      </c>
      <c r="Q18" t="s">
        <v>878</v>
      </c>
    </row>
    <row r="19" spans="1:17" x14ac:dyDescent="0.2">
      <c r="A19">
        <v>3635</v>
      </c>
      <c r="B19" t="s">
        <v>1037</v>
      </c>
      <c r="C19" t="s">
        <v>1057</v>
      </c>
      <c r="E19">
        <v>100</v>
      </c>
      <c r="F19" t="s">
        <v>1040</v>
      </c>
      <c r="G19" t="s">
        <v>1041</v>
      </c>
      <c r="H19" t="s">
        <v>1042</v>
      </c>
      <c r="I19" s="199">
        <v>44146</v>
      </c>
      <c r="J19" t="s">
        <v>1043</v>
      </c>
      <c r="K19" t="s">
        <v>1054</v>
      </c>
      <c r="L19">
        <v>20</v>
      </c>
      <c r="M19">
        <v>3</v>
      </c>
      <c r="N19">
        <v>23</v>
      </c>
      <c r="O19" s="466">
        <v>44501</v>
      </c>
      <c r="P19" s="468" t="s">
        <v>1055</v>
      </c>
      <c r="Q19" t="s">
        <v>878</v>
      </c>
    </row>
    <row r="20" spans="1:17" x14ac:dyDescent="0.2">
      <c r="A20">
        <v>3635</v>
      </c>
      <c r="B20" t="s">
        <v>1037</v>
      </c>
      <c r="C20" t="s">
        <v>1057</v>
      </c>
      <c r="E20">
        <v>100</v>
      </c>
      <c r="F20" t="s">
        <v>1040</v>
      </c>
      <c r="G20" t="s">
        <v>1041</v>
      </c>
      <c r="H20" t="s">
        <v>1042</v>
      </c>
      <c r="I20" s="199">
        <v>44146</v>
      </c>
      <c r="J20" t="s">
        <v>1043</v>
      </c>
      <c r="K20" t="s">
        <v>1054</v>
      </c>
      <c r="L20">
        <v>1.47</v>
      </c>
      <c r="M20">
        <v>0.22</v>
      </c>
      <c r="N20">
        <v>1.69</v>
      </c>
      <c r="O20" s="466">
        <v>44501</v>
      </c>
      <c r="P20" s="468" t="s">
        <v>1055</v>
      </c>
      <c r="Q20" t="s">
        <v>878</v>
      </c>
    </row>
    <row r="21" spans="1:17" x14ac:dyDescent="0.2">
      <c r="A21">
        <v>3635</v>
      </c>
      <c r="B21" t="s">
        <v>1037</v>
      </c>
      <c r="C21" t="s">
        <v>1057</v>
      </c>
      <c r="E21">
        <v>100</v>
      </c>
      <c r="F21" t="s">
        <v>1040</v>
      </c>
      <c r="G21" t="s">
        <v>1041</v>
      </c>
      <c r="H21" t="s">
        <v>1042</v>
      </c>
      <c r="I21" s="199">
        <v>44146</v>
      </c>
      <c r="J21" t="s">
        <v>1043</v>
      </c>
      <c r="K21" t="s">
        <v>1054</v>
      </c>
      <c r="L21">
        <v>98</v>
      </c>
      <c r="M21">
        <v>14.7</v>
      </c>
      <c r="N21">
        <v>112.7</v>
      </c>
      <c r="O21" s="466">
        <v>44501</v>
      </c>
      <c r="P21" s="468" t="s">
        <v>1055</v>
      </c>
      <c r="Q21" t="s">
        <v>878</v>
      </c>
    </row>
    <row r="28" spans="1:17" x14ac:dyDescent="0.2">
      <c r="A28" s="208" t="s">
        <v>1058</v>
      </c>
      <c r="B28" s="208" t="s">
        <v>1030</v>
      </c>
      <c r="C28" s="208" t="s">
        <v>1023</v>
      </c>
      <c r="D28" t="s">
        <v>1059</v>
      </c>
    </row>
    <row r="29" spans="1:17" x14ac:dyDescent="0.2">
      <c r="A29" s="205">
        <v>44146</v>
      </c>
      <c r="B29" s="206" t="s">
        <v>1054</v>
      </c>
      <c r="C29" s="206" t="s">
        <v>1057</v>
      </c>
      <c r="D29">
        <v>119.47</v>
      </c>
      <c r="E29" t="s">
        <v>1060</v>
      </c>
    </row>
    <row r="30" spans="1:17" x14ac:dyDescent="0.2">
      <c r="A30" s="470"/>
      <c r="B30" s="470"/>
      <c r="C30" s="471" t="s">
        <v>1038</v>
      </c>
      <c r="D30" s="470">
        <v>8.5</v>
      </c>
    </row>
    <row r="31" spans="1:17" x14ac:dyDescent="0.2">
      <c r="A31" s="472">
        <v>44231</v>
      </c>
      <c r="B31" s="473" t="s">
        <v>1044</v>
      </c>
      <c r="C31" s="473" t="s">
        <v>1038</v>
      </c>
      <c r="D31" s="474">
        <v>20.85</v>
      </c>
      <c r="E31" t="s">
        <v>1061</v>
      </c>
    </row>
    <row r="32" spans="1:17" x14ac:dyDescent="0.2">
      <c r="A32" s="470"/>
      <c r="B32" s="470"/>
      <c r="C32" s="471" t="s">
        <v>1045</v>
      </c>
      <c r="D32" s="470">
        <v>0</v>
      </c>
    </row>
    <row r="33" spans="1:16" x14ac:dyDescent="0.2">
      <c r="A33" s="472">
        <v>44242</v>
      </c>
      <c r="B33" s="473" t="s">
        <v>1049</v>
      </c>
      <c r="C33" s="473" t="s">
        <v>1038</v>
      </c>
      <c r="D33" s="474">
        <v>71.349999999999994</v>
      </c>
      <c r="E33" t="s">
        <v>1061</v>
      </c>
    </row>
    <row r="34" spans="1:16" x14ac:dyDescent="0.2">
      <c r="A34" s="470"/>
      <c r="B34" s="470"/>
      <c r="C34" s="471" t="s">
        <v>1045</v>
      </c>
      <c r="D34" s="470">
        <v>0</v>
      </c>
      <c r="E34" t="s">
        <v>325</v>
      </c>
    </row>
    <row r="35" spans="1:16" x14ac:dyDescent="0.2">
      <c r="A35" s="205">
        <v>44259</v>
      </c>
      <c r="B35" s="206" t="s">
        <v>1052</v>
      </c>
      <c r="C35" s="206" t="s">
        <v>1038</v>
      </c>
      <c r="D35">
        <v>5.85</v>
      </c>
    </row>
    <row r="36" spans="1:16" x14ac:dyDescent="0.2">
      <c r="C36" s="206" t="s">
        <v>1045</v>
      </c>
      <c r="D36">
        <v>512.20000000000005</v>
      </c>
    </row>
    <row r="37" spans="1:16" x14ac:dyDescent="0.2">
      <c r="A37" s="205" t="s">
        <v>1062</v>
      </c>
      <c r="D37">
        <v>738.22</v>
      </c>
    </row>
    <row r="40" spans="1:16" x14ac:dyDescent="0.2">
      <c r="A40" s="22" t="s">
        <v>1063</v>
      </c>
      <c r="B40" s="22"/>
    </row>
    <row r="42" spans="1:16" s="22" customFormat="1" x14ac:dyDescent="0.2">
      <c r="A42" s="22" t="s">
        <v>1021</v>
      </c>
      <c r="B42" s="22" t="s">
        <v>1022</v>
      </c>
      <c r="C42" s="22" t="s">
        <v>1023</v>
      </c>
      <c r="D42" s="22" t="s">
        <v>1024</v>
      </c>
      <c r="E42" s="22" t="s">
        <v>299</v>
      </c>
      <c r="F42" s="22" t="s">
        <v>1025</v>
      </c>
      <c r="G42" s="22" t="s">
        <v>1026</v>
      </c>
      <c r="H42" s="22" t="s">
        <v>1027</v>
      </c>
      <c r="I42" s="22" t="s">
        <v>1028</v>
      </c>
      <c r="J42" s="22" t="s">
        <v>1029</v>
      </c>
      <c r="K42" s="22" t="s">
        <v>1030</v>
      </c>
      <c r="L42" s="22" t="s">
        <v>1031</v>
      </c>
      <c r="M42" s="22" t="s">
        <v>1032</v>
      </c>
      <c r="N42" s="22" t="s">
        <v>1033</v>
      </c>
      <c r="P42" s="478"/>
    </row>
    <row r="43" spans="1:16" x14ac:dyDescent="0.2">
      <c r="A43">
        <v>3605</v>
      </c>
      <c r="B43" t="s">
        <v>1037</v>
      </c>
      <c r="C43" t="s">
        <v>1038</v>
      </c>
      <c r="D43" t="s">
        <v>1053</v>
      </c>
      <c r="E43">
        <v>100</v>
      </c>
      <c r="F43" t="s">
        <v>1040</v>
      </c>
      <c r="G43" t="s">
        <v>1064</v>
      </c>
      <c r="H43" t="s">
        <v>1065</v>
      </c>
      <c r="I43" s="199">
        <v>44281</v>
      </c>
      <c r="J43" t="s">
        <v>1043</v>
      </c>
      <c r="K43" t="s">
        <v>1066</v>
      </c>
      <c r="L43">
        <v>0.5</v>
      </c>
      <c r="M43">
        <v>0.08</v>
      </c>
      <c r="N43">
        <v>0.57999999999999996</v>
      </c>
    </row>
    <row r="44" spans="1:16" x14ac:dyDescent="0.2">
      <c r="A44">
        <v>3605</v>
      </c>
      <c r="B44" t="s">
        <v>1037</v>
      </c>
      <c r="C44" t="s">
        <v>1038</v>
      </c>
      <c r="D44" t="s">
        <v>1053</v>
      </c>
      <c r="E44">
        <v>100</v>
      </c>
      <c r="F44" t="s">
        <v>1040</v>
      </c>
      <c r="G44" t="s">
        <v>1064</v>
      </c>
      <c r="H44" t="s">
        <v>1065</v>
      </c>
      <c r="I44" s="199">
        <v>44281</v>
      </c>
      <c r="J44" t="s">
        <v>1043</v>
      </c>
      <c r="K44" t="s">
        <v>1066</v>
      </c>
      <c r="L44">
        <v>0.5</v>
      </c>
      <c r="M44">
        <v>0.08</v>
      </c>
      <c r="N44">
        <v>0.57999999999999996</v>
      </c>
    </row>
    <row r="45" spans="1:16" x14ac:dyDescent="0.2">
      <c r="A45">
        <v>3605</v>
      </c>
      <c r="B45" t="s">
        <v>1037</v>
      </c>
      <c r="C45" t="s">
        <v>1038</v>
      </c>
      <c r="D45" t="s">
        <v>1046</v>
      </c>
      <c r="E45">
        <v>100</v>
      </c>
      <c r="F45" t="s">
        <v>1040</v>
      </c>
      <c r="G45" t="s">
        <v>1064</v>
      </c>
      <c r="H45" t="s">
        <v>1065</v>
      </c>
      <c r="I45" s="199">
        <v>44281</v>
      </c>
      <c r="J45" t="s">
        <v>1043</v>
      </c>
      <c r="K45" t="s">
        <v>1066</v>
      </c>
      <c r="L45">
        <v>10</v>
      </c>
      <c r="M45">
        <v>1.5</v>
      </c>
      <c r="N45">
        <v>11.5</v>
      </c>
    </row>
    <row r="46" spans="1:16" x14ac:dyDescent="0.2">
      <c r="A46">
        <v>3605</v>
      </c>
      <c r="B46" t="s">
        <v>1037</v>
      </c>
      <c r="C46" t="s">
        <v>1038</v>
      </c>
      <c r="D46" t="s">
        <v>1053</v>
      </c>
      <c r="E46">
        <v>100</v>
      </c>
      <c r="F46" t="s">
        <v>1040</v>
      </c>
      <c r="G46" t="s">
        <v>1064</v>
      </c>
      <c r="H46" t="s">
        <v>1065</v>
      </c>
      <c r="I46" s="199">
        <v>44281</v>
      </c>
      <c r="J46" t="s">
        <v>1043</v>
      </c>
      <c r="K46" t="s">
        <v>1066</v>
      </c>
      <c r="L46">
        <v>0.5</v>
      </c>
      <c r="M46">
        <v>0.08</v>
      </c>
      <c r="N46">
        <v>0.57999999999999996</v>
      </c>
    </row>
    <row r="47" spans="1:16" x14ac:dyDescent="0.2">
      <c r="A47">
        <v>3605</v>
      </c>
      <c r="B47" t="s">
        <v>1037</v>
      </c>
      <c r="C47" t="s">
        <v>1038</v>
      </c>
      <c r="D47" t="s">
        <v>1039</v>
      </c>
      <c r="E47">
        <v>100</v>
      </c>
      <c r="F47" t="s">
        <v>1040</v>
      </c>
      <c r="G47" t="s">
        <v>1064</v>
      </c>
      <c r="H47" t="s">
        <v>1065</v>
      </c>
      <c r="I47" s="199">
        <v>44281</v>
      </c>
      <c r="J47" t="s">
        <v>1043</v>
      </c>
      <c r="K47" t="s">
        <v>1066</v>
      </c>
      <c r="L47">
        <v>5.85</v>
      </c>
      <c r="M47">
        <v>0.88</v>
      </c>
      <c r="N47">
        <v>6.73</v>
      </c>
    </row>
    <row r="48" spans="1:16" x14ac:dyDescent="0.2">
      <c r="A48">
        <v>3605</v>
      </c>
      <c r="B48" t="s">
        <v>1037</v>
      </c>
      <c r="C48" t="s">
        <v>1038</v>
      </c>
      <c r="D48" t="s">
        <v>1046</v>
      </c>
      <c r="E48">
        <v>100</v>
      </c>
      <c r="F48" t="s">
        <v>1040</v>
      </c>
      <c r="G48" t="s">
        <v>1064</v>
      </c>
      <c r="H48" t="s">
        <v>1065</v>
      </c>
      <c r="I48" s="199">
        <v>44281</v>
      </c>
      <c r="J48" t="s">
        <v>1043</v>
      </c>
      <c r="K48" t="s">
        <v>1066</v>
      </c>
      <c r="L48">
        <v>10</v>
      </c>
      <c r="M48">
        <v>1.5</v>
      </c>
      <c r="N48">
        <v>11.5</v>
      </c>
    </row>
    <row r="49" spans="1:14" x14ac:dyDescent="0.2">
      <c r="A49">
        <v>3605</v>
      </c>
      <c r="B49" t="s">
        <v>1037</v>
      </c>
      <c r="C49" t="s">
        <v>1038</v>
      </c>
      <c r="D49" t="s">
        <v>1053</v>
      </c>
      <c r="E49">
        <v>110</v>
      </c>
      <c r="F49" t="s">
        <v>1040</v>
      </c>
      <c r="G49" t="s">
        <v>1041</v>
      </c>
      <c r="H49" t="s">
        <v>1042</v>
      </c>
      <c r="I49" s="199">
        <v>44259</v>
      </c>
      <c r="J49" t="s">
        <v>1043</v>
      </c>
      <c r="K49" t="s">
        <v>1052</v>
      </c>
      <c r="L49">
        <v>0.5</v>
      </c>
      <c r="M49">
        <v>0.08</v>
      </c>
      <c r="N49">
        <v>0.57999999999999996</v>
      </c>
    </row>
    <row r="50" spans="1:14" x14ac:dyDescent="0.2">
      <c r="A50">
        <v>3605</v>
      </c>
      <c r="B50" t="s">
        <v>1037</v>
      </c>
      <c r="C50" t="s">
        <v>1038</v>
      </c>
      <c r="D50" t="s">
        <v>1053</v>
      </c>
      <c r="E50">
        <v>110</v>
      </c>
      <c r="F50" t="s">
        <v>1040</v>
      </c>
      <c r="G50" t="s">
        <v>1041</v>
      </c>
      <c r="H50" t="s">
        <v>1042</v>
      </c>
      <c r="I50" s="199">
        <v>44259</v>
      </c>
      <c r="J50" t="s">
        <v>1043</v>
      </c>
      <c r="K50" t="s">
        <v>1052</v>
      </c>
      <c r="L50">
        <v>0.5</v>
      </c>
      <c r="M50">
        <v>0.08</v>
      </c>
      <c r="N50">
        <v>0.57999999999999996</v>
      </c>
    </row>
    <row r="51" spans="1:14" x14ac:dyDescent="0.2">
      <c r="A51">
        <v>3605</v>
      </c>
      <c r="B51" t="s">
        <v>1037</v>
      </c>
      <c r="C51" t="s">
        <v>1038</v>
      </c>
      <c r="D51" t="s">
        <v>1053</v>
      </c>
      <c r="E51">
        <v>110</v>
      </c>
      <c r="F51" t="s">
        <v>1040</v>
      </c>
      <c r="G51" t="s">
        <v>1041</v>
      </c>
      <c r="H51" t="s">
        <v>1042</v>
      </c>
      <c r="I51" s="199">
        <v>44259</v>
      </c>
      <c r="J51" t="s">
        <v>1043</v>
      </c>
      <c r="K51" t="s">
        <v>1052</v>
      </c>
      <c r="L51">
        <v>0.5</v>
      </c>
      <c r="M51">
        <v>0.08</v>
      </c>
      <c r="N51">
        <v>0.57999999999999996</v>
      </c>
    </row>
    <row r="52" spans="1:14" x14ac:dyDescent="0.2">
      <c r="A52">
        <v>3610</v>
      </c>
      <c r="B52" t="s">
        <v>1037</v>
      </c>
      <c r="C52" t="s">
        <v>1045</v>
      </c>
      <c r="E52">
        <v>100</v>
      </c>
      <c r="F52" t="s">
        <v>1040</v>
      </c>
      <c r="G52" t="s">
        <v>1064</v>
      </c>
      <c r="H52" t="s">
        <v>1065</v>
      </c>
      <c r="I52" s="199">
        <v>44281</v>
      </c>
      <c r="J52" t="s">
        <v>1043</v>
      </c>
      <c r="K52" t="s">
        <v>1066</v>
      </c>
      <c r="L52">
        <v>18.989999999999998</v>
      </c>
      <c r="M52">
        <v>2.85</v>
      </c>
      <c r="N52">
        <v>21.84</v>
      </c>
    </row>
    <row r="53" spans="1:14" x14ac:dyDescent="0.2">
      <c r="A53">
        <v>3610</v>
      </c>
      <c r="B53" t="s">
        <v>1037</v>
      </c>
      <c r="C53" t="s">
        <v>1045</v>
      </c>
      <c r="E53">
        <v>100</v>
      </c>
      <c r="F53" t="s">
        <v>1040</v>
      </c>
      <c r="G53" t="s">
        <v>1064</v>
      </c>
      <c r="H53" t="s">
        <v>1065</v>
      </c>
      <c r="I53" s="199">
        <v>44281</v>
      </c>
      <c r="J53" t="s">
        <v>1043</v>
      </c>
      <c r="K53" t="s">
        <v>1066</v>
      </c>
      <c r="L53">
        <v>727.38</v>
      </c>
      <c r="M53">
        <v>109.11</v>
      </c>
      <c r="N53">
        <v>836.49</v>
      </c>
    </row>
    <row r="54" spans="1:14" x14ac:dyDescent="0.2">
      <c r="A54">
        <v>3625</v>
      </c>
      <c r="B54" t="s">
        <v>1037</v>
      </c>
      <c r="C54" t="s">
        <v>1038</v>
      </c>
      <c r="D54" t="s">
        <v>1056</v>
      </c>
      <c r="E54">
        <v>100</v>
      </c>
      <c r="F54" t="s">
        <v>1040</v>
      </c>
      <c r="G54" t="s">
        <v>1064</v>
      </c>
      <c r="H54" t="s">
        <v>1065</v>
      </c>
      <c r="I54" s="199">
        <v>44281</v>
      </c>
      <c r="J54" t="s">
        <v>1043</v>
      </c>
      <c r="K54" t="s">
        <v>1066</v>
      </c>
      <c r="L54">
        <v>7.5</v>
      </c>
      <c r="M54">
        <v>1.1299999999999999</v>
      </c>
      <c r="N54">
        <v>8.6300000000000008</v>
      </c>
    </row>
    <row r="55" spans="1:14" x14ac:dyDescent="0.2">
      <c r="A55">
        <v>3625</v>
      </c>
      <c r="B55" t="s">
        <v>1037</v>
      </c>
      <c r="C55" t="s">
        <v>1038</v>
      </c>
      <c r="D55" t="s">
        <v>1056</v>
      </c>
      <c r="E55">
        <v>110</v>
      </c>
      <c r="F55" t="s">
        <v>1040</v>
      </c>
      <c r="G55" t="s">
        <v>1041</v>
      </c>
      <c r="H55" t="s">
        <v>1042</v>
      </c>
      <c r="I55" s="199">
        <v>44259</v>
      </c>
      <c r="J55" t="s">
        <v>1043</v>
      </c>
      <c r="K55" t="s">
        <v>1052</v>
      </c>
      <c r="L55">
        <v>7.5</v>
      </c>
      <c r="M55">
        <v>1.1299999999999999</v>
      </c>
      <c r="N55">
        <v>8.6300000000000008</v>
      </c>
    </row>
    <row r="56" spans="1:14" x14ac:dyDescent="0.2">
      <c r="A56">
        <v>3635</v>
      </c>
      <c r="B56" t="s">
        <v>1037</v>
      </c>
      <c r="C56" t="s">
        <v>1057</v>
      </c>
      <c r="E56">
        <v>100</v>
      </c>
      <c r="F56" t="s">
        <v>1040</v>
      </c>
      <c r="G56" t="s">
        <v>1064</v>
      </c>
      <c r="H56" t="s">
        <v>1065</v>
      </c>
      <c r="I56" s="199">
        <v>44281</v>
      </c>
      <c r="J56" t="s">
        <v>1043</v>
      </c>
      <c r="K56" t="s">
        <v>1066</v>
      </c>
      <c r="L56">
        <v>36</v>
      </c>
      <c r="M56">
        <v>5.4</v>
      </c>
      <c r="N56">
        <v>41.4</v>
      </c>
    </row>
    <row r="57" spans="1:14" x14ac:dyDescent="0.2">
      <c r="A57">
        <v>3635</v>
      </c>
      <c r="B57" t="s">
        <v>1037</v>
      </c>
      <c r="C57" t="s">
        <v>1057</v>
      </c>
      <c r="E57">
        <v>100</v>
      </c>
      <c r="F57" t="s">
        <v>1040</v>
      </c>
      <c r="G57" t="s">
        <v>1064</v>
      </c>
      <c r="H57" t="s">
        <v>1065</v>
      </c>
      <c r="I57" s="199">
        <v>44281</v>
      </c>
      <c r="J57" t="s">
        <v>1043</v>
      </c>
      <c r="K57" t="s">
        <v>1066</v>
      </c>
      <c r="L57">
        <v>15.72</v>
      </c>
      <c r="M57">
        <v>2.36</v>
      </c>
      <c r="N57">
        <v>18.079999999999998</v>
      </c>
    </row>
    <row r="58" spans="1:14" x14ac:dyDescent="0.2">
      <c r="A58">
        <v>3635</v>
      </c>
      <c r="B58" t="s">
        <v>1037</v>
      </c>
      <c r="C58" t="s">
        <v>1057</v>
      </c>
      <c r="E58">
        <v>100</v>
      </c>
      <c r="F58" t="s">
        <v>1040</v>
      </c>
      <c r="G58" t="s">
        <v>1064</v>
      </c>
      <c r="H58" t="s">
        <v>1065</v>
      </c>
      <c r="I58" s="199">
        <v>44281</v>
      </c>
      <c r="J58" t="s">
        <v>1043</v>
      </c>
      <c r="K58" t="s">
        <v>1066</v>
      </c>
      <c r="L58">
        <v>2.21</v>
      </c>
      <c r="M58">
        <v>0.33</v>
      </c>
      <c r="N58">
        <v>2.54</v>
      </c>
    </row>
    <row r="59" spans="1:14" x14ac:dyDescent="0.2">
      <c r="A59">
        <v>3635</v>
      </c>
      <c r="B59" t="s">
        <v>1037</v>
      </c>
      <c r="C59" t="s">
        <v>1057</v>
      </c>
      <c r="E59">
        <v>100</v>
      </c>
      <c r="F59" t="s">
        <v>1040</v>
      </c>
      <c r="G59" t="s">
        <v>1064</v>
      </c>
      <c r="H59" t="s">
        <v>1065</v>
      </c>
      <c r="I59" s="199">
        <v>44281</v>
      </c>
      <c r="J59" t="s">
        <v>1043</v>
      </c>
      <c r="K59" t="s">
        <v>1066</v>
      </c>
      <c r="L59">
        <v>147</v>
      </c>
      <c r="M59">
        <v>22.05</v>
      </c>
      <c r="N59">
        <v>169.05</v>
      </c>
    </row>
    <row r="60" spans="1:14" x14ac:dyDescent="0.2">
      <c r="A60">
        <v>3635</v>
      </c>
      <c r="B60" t="s">
        <v>1037</v>
      </c>
      <c r="C60" t="s">
        <v>1057</v>
      </c>
      <c r="E60">
        <v>110</v>
      </c>
      <c r="F60" t="s">
        <v>1040</v>
      </c>
      <c r="G60" t="s">
        <v>1041</v>
      </c>
      <c r="H60" t="s">
        <v>1042</v>
      </c>
      <c r="I60" s="199">
        <v>44259</v>
      </c>
      <c r="J60" t="s">
        <v>1043</v>
      </c>
      <c r="K60" t="s">
        <v>1052</v>
      </c>
      <c r="L60">
        <v>12</v>
      </c>
      <c r="M60">
        <v>1.8</v>
      </c>
      <c r="N60">
        <v>13.8</v>
      </c>
    </row>
    <row r="61" spans="1:14" x14ac:dyDescent="0.2">
      <c r="A61">
        <v>3635</v>
      </c>
      <c r="B61" t="s">
        <v>1037</v>
      </c>
      <c r="C61" t="s">
        <v>1057</v>
      </c>
      <c r="E61">
        <v>110</v>
      </c>
      <c r="F61" t="s">
        <v>1040</v>
      </c>
      <c r="G61" t="s">
        <v>1041</v>
      </c>
      <c r="H61" t="s">
        <v>1042</v>
      </c>
      <c r="I61" s="199">
        <v>44259</v>
      </c>
      <c r="J61" t="s">
        <v>1043</v>
      </c>
      <c r="K61" t="s">
        <v>1052</v>
      </c>
      <c r="L61">
        <v>10.38</v>
      </c>
      <c r="M61">
        <v>1.56</v>
      </c>
      <c r="N61">
        <v>11.94</v>
      </c>
    </row>
    <row r="62" spans="1:14" x14ac:dyDescent="0.2">
      <c r="A62">
        <v>3635</v>
      </c>
      <c r="B62" t="s">
        <v>1037</v>
      </c>
      <c r="C62" t="s">
        <v>1057</v>
      </c>
      <c r="E62">
        <v>110</v>
      </c>
      <c r="F62" t="s">
        <v>1040</v>
      </c>
      <c r="G62" t="s">
        <v>1041</v>
      </c>
      <c r="H62" t="s">
        <v>1042</v>
      </c>
      <c r="I62" s="199">
        <v>44259</v>
      </c>
      <c r="J62" t="s">
        <v>1043</v>
      </c>
      <c r="K62" t="s">
        <v>1052</v>
      </c>
      <c r="L62">
        <v>0.68</v>
      </c>
      <c r="M62">
        <v>0.1</v>
      </c>
      <c r="N62">
        <v>0.78</v>
      </c>
    </row>
    <row r="63" spans="1:14" x14ac:dyDescent="0.2">
      <c r="A63">
        <v>3635</v>
      </c>
      <c r="B63" t="s">
        <v>1037</v>
      </c>
      <c r="C63" t="s">
        <v>1057</v>
      </c>
      <c r="E63">
        <v>110</v>
      </c>
      <c r="F63" t="s">
        <v>1040</v>
      </c>
      <c r="G63" t="s">
        <v>1041</v>
      </c>
      <c r="H63" t="s">
        <v>1042</v>
      </c>
      <c r="I63" s="199">
        <v>44259</v>
      </c>
      <c r="J63" t="s">
        <v>1043</v>
      </c>
      <c r="K63" t="s">
        <v>1052</v>
      </c>
      <c r="L63">
        <v>45</v>
      </c>
      <c r="M63">
        <v>6.75</v>
      </c>
      <c r="N63">
        <v>51.75</v>
      </c>
    </row>
    <row r="67" spans="1:4" x14ac:dyDescent="0.2">
      <c r="A67" s="208" t="s">
        <v>1058</v>
      </c>
      <c r="B67" s="208" t="s">
        <v>1030</v>
      </c>
      <c r="C67" s="208" t="s">
        <v>1023</v>
      </c>
      <c r="D67" t="s">
        <v>1059</v>
      </c>
    </row>
    <row r="68" spans="1:4" x14ac:dyDescent="0.2">
      <c r="A68" s="205">
        <v>44259</v>
      </c>
      <c r="B68" s="206" t="s">
        <v>1052</v>
      </c>
      <c r="C68" s="206" t="s">
        <v>1057</v>
      </c>
      <c r="D68">
        <v>68.06</v>
      </c>
    </row>
    <row r="69" spans="1:4" x14ac:dyDescent="0.2">
      <c r="C69" s="206" t="s">
        <v>1038</v>
      </c>
      <c r="D69">
        <v>9</v>
      </c>
    </row>
    <row r="70" spans="1:4" x14ac:dyDescent="0.2">
      <c r="A70" s="205">
        <v>44281</v>
      </c>
      <c r="B70" s="206" t="s">
        <v>1066</v>
      </c>
      <c r="C70" s="206" t="s">
        <v>1057</v>
      </c>
      <c r="D70">
        <v>200.93</v>
      </c>
    </row>
    <row r="71" spans="1:4" x14ac:dyDescent="0.2">
      <c r="C71" s="206" t="s">
        <v>1038</v>
      </c>
      <c r="D71">
        <v>34.85</v>
      </c>
    </row>
    <row r="72" spans="1:4" x14ac:dyDescent="0.2">
      <c r="C72" s="206" t="s">
        <v>1045</v>
      </c>
      <c r="D72">
        <v>746.37</v>
      </c>
    </row>
    <row r="73" spans="1:4" x14ac:dyDescent="0.2">
      <c r="A73" s="205" t="s">
        <v>1062</v>
      </c>
      <c r="D73">
        <v>1059.21</v>
      </c>
    </row>
    <row r="92" ht="11.25" customHeight="1" x14ac:dyDescent="0.2"/>
    <row r="105" spans="1:16" x14ac:dyDescent="0.2">
      <c r="A105" t="s">
        <v>294</v>
      </c>
      <c r="B105" t="s">
        <v>295</v>
      </c>
      <c r="C105" t="s">
        <v>296</v>
      </c>
      <c r="D105" t="s">
        <v>185</v>
      </c>
      <c r="G105" t="s">
        <v>297</v>
      </c>
      <c r="H105" t="s">
        <v>299</v>
      </c>
      <c r="I105" t="s">
        <v>300</v>
      </c>
      <c r="K105" t="s">
        <v>301</v>
      </c>
      <c r="L105" t="s">
        <v>302</v>
      </c>
      <c r="M105" s="468" t="s">
        <v>303</v>
      </c>
      <c r="N105" t="s">
        <v>305</v>
      </c>
      <c r="P105"/>
    </row>
    <row r="106" spans="1:16" x14ac:dyDescent="0.2">
      <c r="A106" t="s">
        <v>857</v>
      </c>
      <c r="B106" t="s">
        <v>751</v>
      </c>
      <c r="C106" t="s">
        <v>858</v>
      </c>
      <c r="D106" t="s">
        <v>859</v>
      </c>
      <c r="G106" t="s">
        <v>505</v>
      </c>
      <c r="H106" t="s">
        <v>316</v>
      </c>
      <c r="I106" t="s">
        <v>317</v>
      </c>
      <c r="K106" t="s">
        <v>318</v>
      </c>
      <c r="L106" t="s">
        <v>293</v>
      </c>
      <c r="M106" s="468" t="s">
        <v>293</v>
      </c>
      <c r="N106">
        <v>65.22</v>
      </c>
      <c r="O106" t="s">
        <v>1067</v>
      </c>
      <c r="P106"/>
    </row>
    <row r="107" spans="1:16" x14ac:dyDescent="0.2">
      <c r="A107" t="s">
        <v>703</v>
      </c>
      <c r="B107" t="s">
        <v>751</v>
      </c>
      <c r="C107" t="s">
        <v>875</v>
      </c>
      <c r="D107" t="s">
        <v>983</v>
      </c>
      <c r="G107" t="s">
        <v>505</v>
      </c>
      <c r="H107" t="s">
        <v>316</v>
      </c>
      <c r="I107" t="s">
        <v>317</v>
      </c>
      <c r="K107" t="s">
        <v>318</v>
      </c>
      <c r="L107" t="s">
        <v>293</v>
      </c>
      <c r="M107" s="468" t="s">
        <v>293</v>
      </c>
      <c r="N107">
        <v>200</v>
      </c>
      <c r="O107" t="s">
        <v>1068</v>
      </c>
      <c r="P107"/>
    </row>
    <row r="108" spans="1:16" x14ac:dyDescent="0.2">
      <c r="A108" t="s">
        <v>703</v>
      </c>
      <c r="B108" t="s">
        <v>751</v>
      </c>
      <c r="C108" t="s">
        <v>875</v>
      </c>
      <c r="D108" t="s">
        <v>983</v>
      </c>
      <c r="G108" t="s">
        <v>505</v>
      </c>
      <c r="H108" t="s">
        <v>316</v>
      </c>
      <c r="I108" t="s">
        <v>317</v>
      </c>
      <c r="K108" t="s">
        <v>318</v>
      </c>
      <c r="L108" t="s">
        <v>293</v>
      </c>
      <c r="M108" s="468" t="s">
        <v>293</v>
      </c>
      <c r="N108">
        <v>8050.03</v>
      </c>
      <c r="O108" t="s">
        <v>1068</v>
      </c>
      <c r="P108"/>
    </row>
    <row r="109" spans="1:16" x14ac:dyDescent="0.2">
      <c r="A109" t="s">
        <v>703</v>
      </c>
      <c r="B109" t="s">
        <v>751</v>
      </c>
      <c r="C109" t="s">
        <v>875</v>
      </c>
      <c r="D109" t="s">
        <v>983</v>
      </c>
      <c r="G109" t="s">
        <v>505</v>
      </c>
      <c r="H109" t="s">
        <v>316</v>
      </c>
      <c r="I109" t="s">
        <v>317</v>
      </c>
      <c r="K109" t="s">
        <v>318</v>
      </c>
      <c r="L109" t="s">
        <v>293</v>
      </c>
      <c r="M109" s="468" t="s">
        <v>293</v>
      </c>
      <c r="N109">
        <v>-8050.03</v>
      </c>
      <c r="O109" t="s">
        <v>1068</v>
      </c>
      <c r="P109"/>
    </row>
    <row r="110" spans="1:16" x14ac:dyDescent="0.2">
      <c r="A110" t="s">
        <v>857</v>
      </c>
      <c r="B110" t="s">
        <v>751</v>
      </c>
      <c r="C110" t="s">
        <v>858</v>
      </c>
      <c r="D110" t="s">
        <v>984</v>
      </c>
      <c r="G110" t="s">
        <v>505</v>
      </c>
      <c r="H110" t="s">
        <v>316</v>
      </c>
      <c r="I110" t="s">
        <v>317</v>
      </c>
      <c r="K110" t="s">
        <v>318</v>
      </c>
      <c r="L110" t="s">
        <v>293</v>
      </c>
      <c r="M110" s="468" t="s">
        <v>293</v>
      </c>
      <c r="N110">
        <v>-524.03</v>
      </c>
      <c r="O110" t="s">
        <v>1067</v>
      </c>
      <c r="P110"/>
    </row>
    <row r="111" spans="1:16" x14ac:dyDescent="0.2">
      <c r="A111" t="s">
        <v>857</v>
      </c>
      <c r="B111" t="s">
        <v>751</v>
      </c>
      <c r="C111" t="s">
        <v>858</v>
      </c>
      <c r="D111" t="s">
        <v>985</v>
      </c>
      <c r="G111" t="s">
        <v>505</v>
      </c>
      <c r="H111" t="s">
        <v>316</v>
      </c>
      <c r="I111" t="s">
        <v>317</v>
      </c>
      <c r="K111" t="s">
        <v>318</v>
      </c>
      <c r="L111" t="s">
        <v>293</v>
      </c>
      <c r="M111" s="468" t="s">
        <v>293</v>
      </c>
      <c r="N111">
        <v>-7726</v>
      </c>
      <c r="O111" t="s">
        <v>1067</v>
      </c>
      <c r="P111"/>
    </row>
    <row r="112" spans="1:16" x14ac:dyDescent="0.2">
      <c r="M112" s="468"/>
      <c r="N112" s="469">
        <f>SUM(N106:N111)</f>
        <v>-7984.8099999999995</v>
      </c>
      <c r="P112"/>
    </row>
    <row r="113" spans="13:16" x14ac:dyDescent="0.2">
      <c r="M113" s="468"/>
      <c r="P113"/>
    </row>
    <row r="114" spans="13:16" x14ac:dyDescent="0.2">
      <c r="M114" s="468"/>
      <c r="P114"/>
    </row>
    <row r="115" spans="13:16" x14ac:dyDescent="0.2">
      <c r="M115" s="468"/>
      <c r="P115"/>
    </row>
  </sheetData>
  <autoFilter ref="A1:Q21" xr:uid="{5D4F3FAC-85FF-4315-B7A9-1EDCFE8A112B}"/>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433A-CA7D-4E31-961B-9FDD8450C45B}">
  <sheetPr>
    <tabColor theme="7"/>
  </sheetPr>
  <dimension ref="A1:V8"/>
  <sheetViews>
    <sheetView workbookViewId="0"/>
  </sheetViews>
  <sheetFormatPr defaultRowHeight="12.75" x14ac:dyDescent="0.2"/>
  <cols>
    <col min="2" max="2" width="19.85546875" bestFit="1" customWidth="1"/>
    <col min="3" max="3" width="12.5703125" customWidth="1"/>
    <col min="4" max="4" width="21.5703125" bestFit="1" customWidth="1"/>
    <col min="5" max="5" width="44.85546875" bestFit="1" customWidth="1"/>
    <col min="6" max="6" width="8.5703125" customWidth="1"/>
    <col min="7" max="10" width="9.140625" customWidth="1"/>
  </cols>
  <sheetData>
    <row r="1" spans="1:22" x14ac:dyDescent="0.2">
      <c r="A1" s="22" t="s">
        <v>1069</v>
      </c>
    </row>
    <row r="3" spans="1:22" ht="48.75" thickBot="1" x14ac:dyDescent="0.25">
      <c r="A3" s="458" t="s">
        <v>237</v>
      </c>
      <c r="B3" s="458" t="s">
        <v>1070</v>
      </c>
      <c r="C3" s="458" t="s">
        <v>1071</v>
      </c>
      <c r="D3" s="458" t="s">
        <v>1072</v>
      </c>
      <c r="E3" s="458" t="s">
        <v>185</v>
      </c>
      <c r="F3" s="458" t="s">
        <v>1073</v>
      </c>
      <c r="G3" s="458" t="s">
        <v>1074</v>
      </c>
      <c r="H3" s="458" t="s">
        <v>1075</v>
      </c>
      <c r="I3" s="458" t="s">
        <v>1076</v>
      </c>
      <c r="J3" s="458" t="s">
        <v>1077</v>
      </c>
      <c r="K3" s="458" t="s">
        <v>305</v>
      </c>
      <c r="L3" s="458" t="s">
        <v>1078</v>
      </c>
      <c r="M3" s="458" t="s">
        <v>1079</v>
      </c>
      <c r="N3" s="458" t="s">
        <v>1080</v>
      </c>
      <c r="O3" s="458" t="s">
        <v>299</v>
      </c>
      <c r="P3" s="458" t="s">
        <v>300</v>
      </c>
      <c r="Q3" s="458" t="s">
        <v>299</v>
      </c>
      <c r="R3" s="458" t="s">
        <v>1025</v>
      </c>
      <c r="S3" s="458" t="s">
        <v>1081</v>
      </c>
      <c r="T3" s="458" t="s">
        <v>1082</v>
      </c>
      <c r="U3" s="458" t="s">
        <v>1083</v>
      </c>
    </row>
    <row r="4" spans="1:22" ht="16.5" thickBot="1" x14ac:dyDescent="0.25">
      <c r="A4" s="459" t="s">
        <v>1084</v>
      </c>
      <c r="B4" s="459" t="s">
        <v>1085</v>
      </c>
      <c r="C4" s="460">
        <v>44027</v>
      </c>
      <c r="D4" s="459" t="s">
        <v>1086</v>
      </c>
      <c r="E4" s="459" t="s">
        <v>1087</v>
      </c>
      <c r="F4" s="459"/>
      <c r="G4" s="459" t="s">
        <v>1084</v>
      </c>
      <c r="H4" s="459"/>
      <c r="I4" s="461">
        <v>1</v>
      </c>
      <c r="J4" s="459"/>
      <c r="K4" s="461">
        <v>68.5</v>
      </c>
      <c r="L4" s="461">
        <v>68.5</v>
      </c>
      <c r="M4" s="459" t="s">
        <v>1084</v>
      </c>
      <c r="N4" s="459" t="s">
        <v>1088</v>
      </c>
      <c r="O4" s="459" t="s">
        <v>316</v>
      </c>
      <c r="P4" s="459" t="s">
        <v>317</v>
      </c>
      <c r="Q4" s="459" t="s">
        <v>316</v>
      </c>
      <c r="R4" s="459" t="s">
        <v>318</v>
      </c>
      <c r="S4" s="459" t="s">
        <v>317</v>
      </c>
      <c r="T4" s="459"/>
      <c r="U4" s="459"/>
      <c r="V4" s="462" t="s">
        <v>1089</v>
      </c>
    </row>
    <row r="5" spans="1:22" ht="16.5" thickBot="1" x14ac:dyDescent="0.25">
      <c r="A5" s="459" t="s">
        <v>1084</v>
      </c>
      <c r="B5" s="459" t="s">
        <v>1085</v>
      </c>
      <c r="C5" s="460">
        <v>44020</v>
      </c>
      <c r="D5" s="459" t="s">
        <v>1090</v>
      </c>
      <c r="E5" s="459" t="s">
        <v>1091</v>
      </c>
      <c r="F5" s="459"/>
      <c r="G5" s="459" t="s">
        <v>1084</v>
      </c>
      <c r="H5" s="459"/>
      <c r="I5" s="461">
        <v>1</v>
      </c>
      <c r="J5" s="459"/>
      <c r="K5" s="461">
        <v>12</v>
      </c>
      <c r="L5" s="461">
        <v>12</v>
      </c>
      <c r="M5" s="459" t="s">
        <v>1084</v>
      </c>
      <c r="N5" s="459" t="s">
        <v>1088</v>
      </c>
      <c r="O5" s="459" t="s">
        <v>316</v>
      </c>
      <c r="P5" s="459" t="s">
        <v>317</v>
      </c>
      <c r="Q5" s="459" t="s">
        <v>316</v>
      </c>
      <c r="R5" s="459" t="s">
        <v>333</v>
      </c>
      <c r="S5" s="459" t="s">
        <v>317</v>
      </c>
      <c r="T5" s="459"/>
      <c r="U5" s="459"/>
    </row>
    <row r="6" spans="1:22" ht="16.5" thickBot="1" x14ac:dyDescent="0.25">
      <c r="A6" s="459" t="s">
        <v>1084</v>
      </c>
      <c r="B6" s="459" t="s">
        <v>1085</v>
      </c>
      <c r="C6" s="460">
        <v>44021</v>
      </c>
      <c r="D6" s="459" t="s">
        <v>1090</v>
      </c>
      <c r="E6" s="459" t="s">
        <v>1091</v>
      </c>
      <c r="F6" s="459"/>
      <c r="G6" s="459" t="s">
        <v>1084</v>
      </c>
      <c r="H6" s="459"/>
      <c r="I6" s="461">
        <v>1</v>
      </c>
      <c r="J6" s="459"/>
      <c r="K6" s="461">
        <v>12</v>
      </c>
      <c r="L6" s="461">
        <v>12</v>
      </c>
      <c r="M6" s="459" t="s">
        <v>1084</v>
      </c>
      <c r="N6" s="459" t="s">
        <v>1088</v>
      </c>
      <c r="O6" s="459" t="s">
        <v>316</v>
      </c>
      <c r="P6" s="459" t="s">
        <v>317</v>
      </c>
      <c r="Q6" s="459" t="s">
        <v>316</v>
      </c>
      <c r="R6" s="459" t="s">
        <v>333</v>
      </c>
      <c r="S6" s="459" t="s">
        <v>317</v>
      </c>
      <c r="T6" s="459"/>
      <c r="U6" s="459"/>
    </row>
    <row r="7" spans="1:22" ht="16.5" thickBot="1" x14ac:dyDescent="0.25">
      <c r="A7" s="459" t="s">
        <v>1084</v>
      </c>
      <c r="B7" s="459" t="s">
        <v>1085</v>
      </c>
      <c r="C7" s="460">
        <v>44041</v>
      </c>
      <c r="D7" s="459" t="s">
        <v>1092</v>
      </c>
      <c r="E7" s="459" t="s">
        <v>1093</v>
      </c>
      <c r="F7" s="459"/>
      <c r="G7" s="459" t="s">
        <v>1084</v>
      </c>
      <c r="H7" s="459"/>
      <c r="I7" s="461">
        <v>1</v>
      </c>
      <c r="J7" s="459"/>
      <c r="K7" s="461">
        <v>798</v>
      </c>
      <c r="L7" s="461">
        <v>798</v>
      </c>
      <c r="M7" s="459" t="s">
        <v>1084</v>
      </c>
      <c r="N7" s="459" t="s">
        <v>1088</v>
      </c>
      <c r="O7" s="459" t="s">
        <v>316</v>
      </c>
      <c r="P7" s="459" t="s">
        <v>317</v>
      </c>
      <c r="Q7" s="459" t="s">
        <v>316</v>
      </c>
      <c r="R7" s="459" t="s">
        <v>333</v>
      </c>
      <c r="S7" s="459" t="s">
        <v>317</v>
      </c>
      <c r="T7" s="459"/>
      <c r="U7" s="459"/>
    </row>
    <row r="8" spans="1:22" ht="15.75" x14ac:dyDescent="0.2">
      <c r="A8" s="459" t="s">
        <v>1088</v>
      </c>
      <c r="B8" s="459" t="s">
        <v>1085</v>
      </c>
      <c r="C8" s="460">
        <v>44027</v>
      </c>
      <c r="D8" s="459" t="s">
        <v>1092</v>
      </c>
      <c r="E8" s="459" t="s">
        <v>1094</v>
      </c>
      <c r="F8" s="459"/>
      <c r="G8" s="459" t="s">
        <v>1084</v>
      </c>
      <c r="H8" s="459"/>
      <c r="I8" s="461">
        <v>1</v>
      </c>
      <c r="J8" s="459"/>
      <c r="K8" s="461">
        <v>600</v>
      </c>
      <c r="L8" s="461">
        <v>600</v>
      </c>
      <c r="M8" s="459" t="s">
        <v>1084</v>
      </c>
      <c r="N8" s="459" t="s">
        <v>1088</v>
      </c>
      <c r="O8" s="459" t="s">
        <v>316</v>
      </c>
      <c r="P8" s="459" t="s">
        <v>317</v>
      </c>
      <c r="Q8" s="459" t="s">
        <v>316</v>
      </c>
      <c r="R8" s="459" t="s">
        <v>318</v>
      </c>
      <c r="S8" s="459" t="s">
        <v>317</v>
      </c>
      <c r="T8" s="459"/>
      <c r="U8" s="459"/>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D9EB-A045-4F87-8DC6-3CC97FB246FB}">
  <sheetPr>
    <tabColor theme="7"/>
  </sheetPr>
  <dimension ref="A1:J83"/>
  <sheetViews>
    <sheetView topLeftCell="B1" workbookViewId="0">
      <selection activeCell="E19" sqref="E19"/>
    </sheetView>
  </sheetViews>
  <sheetFormatPr defaultRowHeight="12.75" x14ac:dyDescent="0.2"/>
  <cols>
    <col min="1" max="1" width="12.85546875" customWidth="1"/>
    <col min="2" max="2" width="26.85546875" customWidth="1"/>
    <col min="3" max="3" width="15.85546875" customWidth="1"/>
    <col min="4" max="4" width="17.5703125" bestFit="1" customWidth="1"/>
    <col min="5" max="5" width="65" bestFit="1" customWidth="1"/>
    <col min="6" max="10" width="26.85546875" customWidth="1"/>
  </cols>
  <sheetData>
    <row r="1" spans="1:10" ht="16.5" x14ac:dyDescent="0.25">
      <c r="A1" s="307" t="s">
        <v>1095</v>
      </c>
      <c r="B1" s="306"/>
      <c r="C1" s="306"/>
      <c r="D1" s="306"/>
      <c r="E1" s="306"/>
      <c r="F1" s="306"/>
      <c r="G1" s="306"/>
      <c r="H1" s="306"/>
      <c r="I1" s="306"/>
      <c r="J1" s="306"/>
    </row>
    <row r="2" spans="1:10" ht="16.5" x14ac:dyDescent="0.25">
      <c r="A2" s="307" t="s">
        <v>53</v>
      </c>
      <c r="B2" s="306"/>
      <c r="C2" s="306"/>
      <c r="D2" s="306"/>
      <c r="E2" s="306"/>
      <c r="F2" s="306"/>
      <c r="G2" s="306"/>
      <c r="H2" s="306"/>
      <c r="I2" s="306"/>
      <c r="J2" s="306"/>
    </row>
    <row r="3" spans="1:10" x14ac:dyDescent="0.2">
      <c r="A3" s="306" t="s">
        <v>1096</v>
      </c>
      <c r="B3" s="308">
        <v>44012</v>
      </c>
      <c r="C3" s="306" t="s">
        <v>1097</v>
      </c>
      <c r="D3" s="309" t="s">
        <v>1098</v>
      </c>
      <c r="E3" s="306"/>
      <c r="F3" s="306"/>
      <c r="G3" s="306"/>
      <c r="H3" s="306"/>
      <c r="I3" s="306"/>
      <c r="J3" s="306"/>
    </row>
    <row r="4" spans="1:10" ht="15" x14ac:dyDescent="0.2">
      <c r="A4" s="310" t="s">
        <v>1099</v>
      </c>
      <c r="B4" s="310"/>
      <c r="C4" s="310"/>
      <c r="D4" s="310"/>
      <c r="E4" s="310"/>
      <c r="F4" s="310"/>
      <c r="G4" s="310"/>
      <c r="H4" s="310"/>
      <c r="I4" s="310"/>
      <c r="J4" s="310"/>
    </row>
    <row r="6" spans="1:10" ht="25.5" x14ac:dyDescent="0.2">
      <c r="A6" s="312" t="s">
        <v>1100</v>
      </c>
      <c r="B6" s="312" t="s">
        <v>1101</v>
      </c>
      <c r="C6" s="313" t="s">
        <v>1102</v>
      </c>
      <c r="D6" s="313" t="s">
        <v>1103</v>
      </c>
      <c r="E6" s="312" t="s">
        <v>237</v>
      </c>
      <c r="F6" s="314" t="s">
        <v>1104</v>
      </c>
      <c r="G6" s="315" t="s">
        <v>1105</v>
      </c>
      <c r="H6" s="313" t="s">
        <v>1106</v>
      </c>
      <c r="I6" s="313" t="s">
        <v>1107</v>
      </c>
      <c r="J6" s="313" t="s">
        <v>1108</v>
      </c>
    </row>
    <row r="7" spans="1:10" x14ac:dyDescent="0.2">
      <c r="A7" s="316" t="s">
        <v>1109</v>
      </c>
      <c r="B7" s="311"/>
      <c r="C7" s="311"/>
      <c r="D7" s="311"/>
      <c r="E7" s="311"/>
      <c r="F7" s="311"/>
      <c r="G7" s="311"/>
      <c r="H7" s="311"/>
      <c r="I7" s="311"/>
      <c r="J7" s="311"/>
    </row>
    <row r="8" spans="1:10" x14ac:dyDescent="0.2">
      <c r="A8" s="317" t="s">
        <v>1110</v>
      </c>
      <c r="B8" s="317" t="s">
        <v>318</v>
      </c>
      <c r="C8" s="318">
        <v>44012</v>
      </c>
      <c r="D8" s="319" t="s">
        <v>1111</v>
      </c>
      <c r="E8" s="317" t="s">
        <v>1112</v>
      </c>
      <c r="F8" s="320" t="s">
        <v>1113</v>
      </c>
      <c r="G8" s="321">
        <v>6181</v>
      </c>
      <c r="H8" s="321"/>
      <c r="I8" s="322">
        <v>1539.13</v>
      </c>
      <c r="J8" s="322"/>
    </row>
    <row r="9" spans="1:10" x14ac:dyDescent="0.2">
      <c r="A9" s="306"/>
      <c r="B9" s="306"/>
      <c r="C9" s="306"/>
      <c r="D9" s="306"/>
      <c r="E9" s="306"/>
      <c r="F9" s="306"/>
      <c r="G9" s="306"/>
      <c r="H9" s="306"/>
      <c r="I9" s="323">
        <v>1539.13</v>
      </c>
      <c r="J9" s="323">
        <v>0</v>
      </c>
    </row>
    <row r="10" spans="1:10" x14ac:dyDescent="0.2">
      <c r="A10" s="306"/>
      <c r="B10" s="306"/>
      <c r="C10" s="306"/>
      <c r="D10" s="306"/>
      <c r="E10" s="306"/>
      <c r="F10" s="306"/>
      <c r="G10" s="306"/>
      <c r="H10" s="306"/>
      <c r="I10" s="306"/>
      <c r="J10" s="306"/>
    </row>
    <row r="11" spans="1:10" x14ac:dyDescent="0.2">
      <c r="A11" s="316" t="s">
        <v>1114</v>
      </c>
      <c r="B11" s="311"/>
      <c r="C11" s="311"/>
      <c r="D11" s="311"/>
      <c r="E11" s="311"/>
      <c r="F11" s="311"/>
      <c r="G11" s="311"/>
      <c r="H11" s="311"/>
      <c r="I11" s="311"/>
      <c r="J11" s="311"/>
    </row>
    <row r="12" spans="1:10" x14ac:dyDescent="0.2">
      <c r="A12" s="317" t="s">
        <v>1110</v>
      </c>
      <c r="B12" s="317" t="s">
        <v>318</v>
      </c>
      <c r="C12" s="318">
        <v>43922</v>
      </c>
      <c r="D12" s="319" t="s">
        <v>1115</v>
      </c>
      <c r="E12" s="317" t="s">
        <v>1116</v>
      </c>
      <c r="F12" s="320" t="s">
        <v>1113</v>
      </c>
      <c r="G12" s="321">
        <v>6059</v>
      </c>
      <c r="H12" s="321"/>
      <c r="I12" s="322"/>
      <c r="J12" s="322">
        <v>285.3</v>
      </c>
    </row>
    <row r="13" spans="1:10" s="194" customFormat="1" x14ac:dyDescent="0.2">
      <c r="A13" s="357" t="s">
        <v>1110</v>
      </c>
      <c r="B13" s="357" t="s">
        <v>318</v>
      </c>
      <c r="C13" s="358">
        <v>43955</v>
      </c>
      <c r="D13" s="359" t="s">
        <v>1117</v>
      </c>
      <c r="E13" s="357" t="s">
        <v>1118</v>
      </c>
      <c r="F13" s="360" t="s">
        <v>1119</v>
      </c>
      <c r="G13" s="361">
        <v>6111</v>
      </c>
      <c r="H13" s="361">
        <v>49294</v>
      </c>
      <c r="I13" s="362">
        <v>321.74</v>
      </c>
      <c r="J13" s="362"/>
    </row>
    <row r="14" spans="1:10" s="194" customFormat="1" x14ac:dyDescent="0.2">
      <c r="A14" s="357" t="s">
        <v>1110</v>
      </c>
      <c r="B14" s="357" t="s">
        <v>318</v>
      </c>
      <c r="C14" s="358">
        <v>43955</v>
      </c>
      <c r="D14" s="359" t="s">
        <v>1120</v>
      </c>
      <c r="E14" s="357" t="s">
        <v>1121</v>
      </c>
      <c r="F14" s="360" t="s">
        <v>1119</v>
      </c>
      <c r="G14" s="361">
        <v>6111</v>
      </c>
      <c r="H14" s="361">
        <v>49295</v>
      </c>
      <c r="I14" s="362">
        <v>465.22</v>
      </c>
      <c r="J14" s="362"/>
    </row>
    <row r="15" spans="1:10" s="194" customFormat="1" x14ac:dyDescent="0.2">
      <c r="A15" s="357" t="s">
        <v>1110</v>
      </c>
      <c r="B15" s="357" t="s">
        <v>318</v>
      </c>
      <c r="C15" s="358">
        <v>43955</v>
      </c>
      <c r="D15" s="359" t="s">
        <v>1122</v>
      </c>
      <c r="E15" s="357" t="s">
        <v>1123</v>
      </c>
      <c r="F15" s="360" t="s">
        <v>1119</v>
      </c>
      <c r="G15" s="361">
        <v>6111</v>
      </c>
      <c r="H15" s="361">
        <v>49328</v>
      </c>
      <c r="I15" s="362">
        <v>1086.96</v>
      </c>
      <c r="J15" s="362"/>
    </row>
    <row r="16" spans="1:10" s="194" customFormat="1" x14ac:dyDescent="0.2">
      <c r="A16" s="357" t="s">
        <v>1110</v>
      </c>
      <c r="B16" s="357" t="s">
        <v>318</v>
      </c>
      <c r="C16" s="358">
        <v>43982</v>
      </c>
      <c r="D16" s="359" t="s">
        <v>1115</v>
      </c>
      <c r="E16" s="357" t="s">
        <v>1124</v>
      </c>
      <c r="F16" s="360" t="s">
        <v>1113</v>
      </c>
      <c r="G16" s="361">
        <v>6129</v>
      </c>
      <c r="H16" s="361"/>
      <c r="I16" s="362">
        <v>285.3</v>
      </c>
      <c r="J16" s="362"/>
    </row>
    <row r="17" spans="1:10" x14ac:dyDescent="0.2">
      <c r="A17" s="306"/>
      <c r="B17" s="306"/>
      <c r="C17" s="306"/>
      <c r="D17" s="306"/>
      <c r="E17" s="306"/>
      <c r="F17" s="306"/>
      <c r="G17" s="306"/>
      <c r="H17" s="306"/>
      <c r="I17" s="323">
        <v>2159.2200000000003</v>
      </c>
      <c r="J17" s="323">
        <v>285.3</v>
      </c>
    </row>
    <row r="18" spans="1:10" x14ac:dyDescent="0.2">
      <c r="A18" s="306"/>
      <c r="B18" s="306"/>
      <c r="C18" s="306"/>
      <c r="D18" s="306"/>
      <c r="E18" s="306"/>
      <c r="F18" s="306"/>
      <c r="G18" s="306"/>
      <c r="H18" s="306"/>
      <c r="I18" s="306"/>
      <c r="J18" s="306"/>
    </row>
    <row r="19" spans="1:10" x14ac:dyDescent="0.2">
      <c r="A19" s="316" t="s">
        <v>1125</v>
      </c>
      <c r="B19" s="311"/>
      <c r="C19" s="311"/>
      <c r="D19" s="311"/>
      <c r="E19" s="311"/>
      <c r="F19" s="311"/>
      <c r="G19" s="311"/>
      <c r="H19" s="311"/>
      <c r="I19" s="311"/>
      <c r="J19" s="311"/>
    </row>
    <row r="20" spans="1:10" x14ac:dyDescent="0.2">
      <c r="A20" s="317" t="s">
        <v>1110</v>
      </c>
      <c r="B20" s="317" t="s">
        <v>318</v>
      </c>
      <c r="C20" s="318">
        <v>44009</v>
      </c>
      <c r="D20" s="319" t="s">
        <v>1126</v>
      </c>
      <c r="E20" s="317" t="s">
        <v>1127</v>
      </c>
      <c r="F20" s="320" t="s">
        <v>1119</v>
      </c>
      <c r="G20" s="321">
        <v>6172</v>
      </c>
      <c r="H20" s="321">
        <v>50096</v>
      </c>
      <c r="I20" s="322">
        <v>178.49</v>
      </c>
      <c r="J20" s="322"/>
    </row>
    <row r="21" spans="1:10" x14ac:dyDescent="0.2">
      <c r="A21" s="306"/>
      <c r="B21" s="306"/>
      <c r="C21" s="306"/>
      <c r="D21" s="306"/>
      <c r="E21" s="306"/>
      <c r="F21" s="306"/>
      <c r="G21" s="306"/>
      <c r="H21" s="306"/>
      <c r="I21" s="323">
        <v>178.49</v>
      </c>
      <c r="J21" s="323">
        <v>0</v>
      </c>
    </row>
    <row r="22" spans="1:10" x14ac:dyDescent="0.2">
      <c r="A22" s="306"/>
      <c r="B22" s="306"/>
      <c r="C22" s="306"/>
      <c r="D22" s="306"/>
      <c r="E22" s="306"/>
      <c r="F22" s="306"/>
      <c r="G22" s="306"/>
      <c r="H22" s="306"/>
      <c r="I22" s="306"/>
      <c r="J22" s="306"/>
    </row>
    <row r="23" spans="1:10" x14ac:dyDescent="0.2">
      <c r="A23" s="316" t="s">
        <v>1128</v>
      </c>
      <c r="B23" s="311"/>
      <c r="C23" s="311"/>
      <c r="D23" s="311"/>
      <c r="E23" s="311"/>
      <c r="F23" s="311"/>
      <c r="G23" s="311"/>
      <c r="H23" s="311"/>
      <c r="I23" s="311"/>
      <c r="J23" s="311"/>
    </row>
    <row r="24" spans="1:10" x14ac:dyDescent="0.2">
      <c r="A24" s="317" t="s">
        <v>1110</v>
      </c>
      <c r="B24" s="317" t="s">
        <v>318</v>
      </c>
      <c r="C24" s="318">
        <v>43922</v>
      </c>
      <c r="D24" s="319" t="s">
        <v>293</v>
      </c>
      <c r="E24" s="317" t="s">
        <v>1129</v>
      </c>
      <c r="F24" s="320" t="s">
        <v>1113</v>
      </c>
      <c r="G24" s="321">
        <v>6052</v>
      </c>
      <c r="H24" s="321"/>
      <c r="I24" s="322"/>
      <c r="J24" s="322">
        <v>28</v>
      </c>
    </row>
    <row r="25" spans="1:10" x14ac:dyDescent="0.2">
      <c r="A25" s="317" t="s">
        <v>1110</v>
      </c>
      <c r="B25" s="317" t="s">
        <v>318</v>
      </c>
      <c r="C25" s="318">
        <v>43951</v>
      </c>
      <c r="D25" s="319" t="s">
        <v>293</v>
      </c>
      <c r="E25" s="317" t="s">
        <v>1129</v>
      </c>
      <c r="F25" s="320" t="s">
        <v>1113</v>
      </c>
      <c r="G25" s="321">
        <v>6075</v>
      </c>
      <c r="H25" s="321"/>
      <c r="I25" s="322">
        <v>28</v>
      </c>
      <c r="J25" s="322"/>
    </row>
    <row r="26" spans="1:10" x14ac:dyDescent="0.2">
      <c r="A26" s="306"/>
      <c r="B26" s="306"/>
      <c r="C26" s="306"/>
      <c r="D26" s="306"/>
      <c r="E26" s="306"/>
      <c r="F26" s="306"/>
      <c r="G26" s="306"/>
      <c r="H26" s="306"/>
      <c r="I26" s="323">
        <v>28</v>
      </c>
      <c r="J26" s="323">
        <v>28</v>
      </c>
    </row>
    <row r="27" spans="1:10" x14ac:dyDescent="0.2">
      <c r="A27" s="306"/>
      <c r="B27" s="306"/>
      <c r="C27" s="306"/>
      <c r="D27" s="306"/>
      <c r="E27" s="306"/>
      <c r="F27" s="306"/>
      <c r="G27" s="306"/>
      <c r="H27" s="306"/>
      <c r="I27" s="306"/>
      <c r="J27" s="306"/>
    </row>
    <row r="28" spans="1:10" x14ac:dyDescent="0.2">
      <c r="A28" s="316" t="s">
        <v>1130</v>
      </c>
      <c r="B28" s="311"/>
      <c r="C28" s="311"/>
      <c r="D28" s="311"/>
      <c r="E28" s="311"/>
      <c r="F28" s="311"/>
      <c r="G28" s="311"/>
      <c r="H28" s="311"/>
      <c r="I28" s="311"/>
      <c r="J28" s="311"/>
    </row>
    <row r="29" spans="1:10" x14ac:dyDescent="0.2">
      <c r="A29" s="317" t="s">
        <v>1110</v>
      </c>
      <c r="B29" s="317" t="s">
        <v>318</v>
      </c>
      <c r="C29" s="318">
        <v>43922</v>
      </c>
      <c r="D29" s="319" t="s">
        <v>293</v>
      </c>
      <c r="E29" s="317" t="s">
        <v>1131</v>
      </c>
      <c r="F29" s="320" t="s">
        <v>1113</v>
      </c>
      <c r="G29" s="321">
        <v>6052</v>
      </c>
      <c r="H29" s="321"/>
      <c r="I29" s="322">
        <v>230.69</v>
      </c>
      <c r="J29" s="322"/>
    </row>
    <row r="30" spans="1:10" x14ac:dyDescent="0.2">
      <c r="A30" s="317" t="s">
        <v>1110</v>
      </c>
      <c r="B30" s="317" t="s">
        <v>318</v>
      </c>
      <c r="C30" s="318">
        <v>43951</v>
      </c>
      <c r="D30" s="319" t="s">
        <v>293</v>
      </c>
      <c r="E30" s="317" t="s">
        <v>1131</v>
      </c>
      <c r="F30" s="320" t="s">
        <v>1113</v>
      </c>
      <c r="G30" s="321">
        <v>6075</v>
      </c>
      <c r="H30" s="321"/>
      <c r="I30" s="322"/>
      <c r="J30" s="322">
        <v>230.69</v>
      </c>
    </row>
    <row r="31" spans="1:10" x14ac:dyDescent="0.2">
      <c r="A31" s="306"/>
      <c r="B31" s="306"/>
      <c r="C31" s="306"/>
      <c r="D31" s="306"/>
      <c r="E31" s="306"/>
      <c r="F31" s="306"/>
      <c r="G31" s="306"/>
      <c r="H31" s="306"/>
      <c r="I31" s="323">
        <v>230.69</v>
      </c>
      <c r="J31" s="323">
        <v>230.69</v>
      </c>
    </row>
    <row r="32" spans="1:10" x14ac:dyDescent="0.2">
      <c r="A32" s="306"/>
      <c r="B32" s="306"/>
      <c r="C32" s="306"/>
      <c r="D32" s="306"/>
      <c r="E32" s="306"/>
      <c r="F32" s="306"/>
      <c r="G32" s="306"/>
      <c r="H32" s="306"/>
      <c r="I32" s="306"/>
      <c r="J32" s="306"/>
    </row>
    <row r="33" spans="1:10" x14ac:dyDescent="0.2">
      <c r="A33" s="316" t="s">
        <v>1132</v>
      </c>
      <c r="B33" s="311"/>
      <c r="C33" s="311"/>
      <c r="D33" s="311"/>
      <c r="E33" s="311"/>
      <c r="F33" s="311"/>
      <c r="G33" s="311"/>
      <c r="H33" s="311"/>
      <c r="I33" s="311"/>
      <c r="J33" s="311"/>
    </row>
    <row r="34" spans="1:10" x14ac:dyDescent="0.2">
      <c r="A34" s="317" t="s">
        <v>1133</v>
      </c>
      <c r="B34" s="317" t="s">
        <v>318</v>
      </c>
      <c r="C34" s="318">
        <v>44012</v>
      </c>
      <c r="D34" s="319" t="s">
        <v>1134</v>
      </c>
      <c r="E34" s="317" t="s">
        <v>1135</v>
      </c>
      <c r="F34" s="320" t="s">
        <v>1113</v>
      </c>
      <c r="G34" s="321">
        <v>6181</v>
      </c>
      <c r="H34" s="321"/>
      <c r="I34" s="322">
        <v>59.3</v>
      </c>
      <c r="J34" s="322"/>
    </row>
    <row r="35" spans="1:10" x14ac:dyDescent="0.2">
      <c r="A35" s="317" t="s">
        <v>1110</v>
      </c>
      <c r="B35" s="317" t="s">
        <v>318</v>
      </c>
      <c r="C35" s="318">
        <v>43922</v>
      </c>
      <c r="D35" s="319" t="s">
        <v>293</v>
      </c>
      <c r="E35" s="317" t="s">
        <v>1136</v>
      </c>
      <c r="F35" s="320" t="s">
        <v>1113</v>
      </c>
      <c r="G35" s="321">
        <v>6052</v>
      </c>
      <c r="H35" s="321"/>
      <c r="I35" s="322"/>
      <c r="J35" s="322">
        <v>415.65</v>
      </c>
    </row>
    <row r="36" spans="1:10" x14ac:dyDescent="0.2">
      <c r="A36" s="317" t="s">
        <v>1110</v>
      </c>
      <c r="B36" s="317" t="s">
        <v>318</v>
      </c>
      <c r="C36" s="318">
        <v>43922</v>
      </c>
      <c r="D36" s="319" t="s">
        <v>1134</v>
      </c>
      <c r="E36" s="317" t="s">
        <v>1116</v>
      </c>
      <c r="F36" s="320" t="s">
        <v>1113</v>
      </c>
      <c r="G36" s="321">
        <v>6059</v>
      </c>
      <c r="H36" s="321"/>
      <c r="I36" s="322"/>
      <c r="J36" s="322">
        <v>54</v>
      </c>
    </row>
    <row r="37" spans="1:10" x14ac:dyDescent="0.2">
      <c r="A37" s="317" t="s">
        <v>1110</v>
      </c>
      <c r="B37" s="317" t="s">
        <v>318</v>
      </c>
      <c r="C37" s="318">
        <v>43951</v>
      </c>
      <c r="D37" s="319" t="s">
        <v>293</v>
      </c>
      <c r="E37" s="317" t="s">
        <v>1136</v>
      </c>
      <c r="F37" s="320" t="s">
        <v>1113</v>
      </c>
      <c r="G37" s="321">
        <v>6075</v>
      </c>
      <c r="H37" s="321"/>
      <c r="I37" s="322">
        <v>415.65</v>
      </c>
      <c r="J37" s="322"/>
    </row>
    <row r="38" spans="1:10" x14ac:dyDescent="0.2">
      <c r="A38" s="317" t="s">
        <v>1110</v>
      </c>
      <c r="B38" s="317" t="s">
        <v>318</v>
      </c>
      <c r="C38" s="318">
        <v>43986</v>
      </c>
      <c r="D38" s="319" t="s">
        <v>1137</v>
      </c>
      <c r="E38" s="317" t="s">
        <v>1138</v>
      </c>
      <c r="F38" s="320" t="s">
        <v>1139</v>
      </c>
      <c r="G38" s="321">
        <v>6150</v>
      </c>
      <c r="H38" s="321">
        <v>11557</v>
      </c>
      <c r="I38" s="322"/>
      <c r="J38" s="322">
        <v>59.3</v>
      </c>
    </row>
    <row r="39" spans="1:10" x14ac:dyDescent="0.2">
      <c r="A39" s="317" t="s">
        <v>1110</v>
      </c>
      <c r="B39" s="317" t="s">
        <v>318</v>
      </c>
      <c r="C39" s="318">
        <v>44012</v>
      </c>
      <c r="D39" s="319" t="s">
        <v>1134</v>
      </c>
      <c r="E39" s="317" t="s">
        <v>1140</v>
      </c>
      <c r="F39" s="320" t="s">
        <v>1113</v>
      </c>
      <c r="G39" s="321">
        <v>6181</v>
      </c>
      <c r="H39" s="321"/>
      <c r="I39" s="322">
        <v>15.65</v>
      </c>
      <c r="J39" s="322"/>
    </row>
    <row r="40" spans="1:10" x14ac:dyDescent="0.2">
      <c r="A40" s="317" t="s">
        <v>1110</v>
      </c>
      <c r="B40" s="317" t="s">
        <v>318</v>
      </c>
      <c r="C40" s="318">
        <v>44012</v>
      </c>
      <c r="D40" s="319" t="s">
        <v>1134</v>
      </c>
      <c r="E40" s="317" t="s">
        <v>1141</v>
      </c>
      <c r="F40" s="320" t="s">
        <v>1113</v>
      </c>
      <c r="G40" s="321">
        <v>6181</v>
      </c>
      <c r="H40" s="321"/>
      <c r="I40" s="322">
        <v>9.57</v>
      </c>
      <c r="J40" s="322"/>
    </row>
    <row r="41" spans="1:10" x14ac:dyDescent="0.2">
      <c r="A41" s="317" t="s">
        <v>1110</v>
      </c>
      <c r="B41" s="317" t="s">
        <v>318</v>
      </c>
      <c r="C41" s="318">
        <v>44012</v>
      </c>
      <c r="D41" s="319" t="s">
        <v>1134</v>
      </c>
      <c r="E41" s="317" t="s">
        <v>1142</v>
      </c>
      <c r="F41" s="320" t="s">
        <v>1113</v>
      </c>
      <c r="G41" s="321">
        <v>6181</v>
      </c>
      <c r="H41" s="321"/>
      <c r="I41" s="322">
        <v>21.74</v>
      </c>
      <c r="J41" s="322"/>
    </row>
    <row r="42" spans="1:10" x14ac:dyDescent="0.2">
      <c r="A42" s="306"/>
      <c r="B42" s="306"/>
      <c r="C42" s="306"/>
      <c r="D42" s="306"/>
      <c r="E42" s="306"/>
      <c r="F42" s="306"/>
      <c r="G42" s="306"/>
      <c r="H42" s="306"/>
      <c r="I42" s="323">
        <v>521.91</v>
      </c>
      <c r="J42" s="323">
        <v>528.94999999999993</v>
      </c>
    </row>
    <row r="43" spans="1:10" x14ac:dyDescent="0.2">
      <c r="A43" s="306"/>
      <c r="B43" s="306"/>
      <c r="C43" s="306"/>
      <c r="D43" s="306"/>
      <c r="E43" s="306"/>
      <c r="F43" s="306"/>
      <c r="G43" s="306"/>
      <c r="H43" s="306"/>
      <c r="I43" s="306"/>
      <c r="J43" s="306"/>
    </row>
    <row r="44" spans="1:10" x14ac:dyDescent="0.2">
      <c r="A44" s="316" t="s">
        <v>1143</v>
      </c>
      <c r="B44" s="311"/>
      <c r="C44" s="311"/>
      <c r="D44" s="311"/>
      <c r="E44" s="311"/>
      <c r="F44" s="311"/>
      <c r="G44" s="311"/>
      <c r="H44" s="311"/>
      <c r="I44" s="311"/>
      <c r="J44" s="311"/>
    </row>
    <row r="45" spans="1:10" x14ac:dyDescent="0.2">
      <c r="A45" s="317" t="s">
        <v>1133</v>
      </c>
      <c r="B45" s="317" t="s">
        <v>318</v>
      </c>
      <c r="C45" s="318">
        <v>43922</v>
      </c>
      <c r="D45" s="319" t="s">
        <v>1134</v>
      </c>
      <c r="E45" s="317" t="s">
        <v>1116</v>
      </c>
      <c r="F45" s="320" t="s">
        <v>1113</v>
      </c>
      <c r="G45" s="321">
        <v>6059</v>
      </c>
      <c r="H45" s="321"/>
      <c r="I45" s="322"/>
      <c r="J45" s="322">
        <v>36.590000000000003</v>
      </c>
    </row>
    <row r="46" spans="1:10" x14ac:dyDescent="0.2">
      <c r="A46" s="317" t="s">
        <v>1133</v>
      </c>
      <c r="B46" s="317" t="s">
        <v>318</v>
      </c>
      <c r="C46" s="318">
        <v>43982</v>
      </c>
      <c r="D46" s="319" t="s">
        <v>1134</v>
      </c>
      <c r="E46" s="317" t="s">
        <v>1144</v>
      </c>
      <c r="F46" s="320" t="s">
        <v>1113</v>
      </c>
      <c r="G46" s="321">
        <v>6130</v>
      </c>
      <c r="H46" s="321"/>
      <c r="I46" s="322">
        <v>20.85</v>
      </c>
      <c r="J46" s="322"/>
    </row>
    <row r="47" spans="1:10" x14ac:dyDescent="0.2">
      <c r="A47" s="317" t="s">
        <v>1133</v>
      </c>
      <c r="B47" s="317" t="s">
        <v>318</v>
      </c>
      <c r="C47" s="318">
        <v>43983</v>
      </c>
      <c r="D47" s="319" t="s">
        <v>1134</v>
      </c>
      <c r="E47" s="317" t="s">
        <v>1144</v>
      </c>
      <c r="F47" s="320" t="s">
        <v>1113</v>
      </c>
      <c r="G47" s="321">
        <v>6136</v>
      </c>
      <c r="H47" s="321"/>
      <c r="I47" s="322"/>
      <c r="J47" s="322">
        <v>20.85</v>
      </c>
    </row>
    <row r="48" spans="1:10" x14ac:dyDescent="0.2">
      <c r="A48" s="317" t="s">
        <v>1133</v>
      </c>
      <c r="B48" s="317" t="s">
        <v>318</v>
      </c>
      <c r="C48" s="318">
        <v>43998</v>
      </c>
      <c r="D48" s="319" t="s">
        <v>1145</v>
      </c>
      <c r="E48" s="317" t="s">
        <v>1146</v>
      </c>
      <c r="F48" s="320" t="s">
        <v>1139</v>
      </c>
      <c r="G48" s="321">
        <v>6161</v>
      </c>
      <c r="H48" s="321">
        <v>11592</v>
      </c>
      <c r="I48" s="322"/>
      <c r="J48" s="322">
        <v>8.6999999999999993</v>
      </c>
    </row>
    <row r="49" spans="1:10" x14ac:dyDescent="0.2">
      <c r="A49" s="317" t="s">
        <v>1133</v>
      </c>
      <c r="B49" s="317" t="s">
        <v>318</v>
      </c>
      <c r="C49" s="318">
        <v>43998</v>
      </c>
      <c r="D49" s="319" t="s">
        <v>1147</v>
      </c>
      <c r="E49" s="317" t="s">
        <v>1146</v>
      </c>
      <c r="F49" s="320" t="s">
        <v>1139</v>
      </c>
      <c r="G49" s="321">
        <v>6161</v>
      </c>
      <c r="H49" s="321">
        <v>11593</v>
      </c>
      <c r="I49" s="322"/>
      <c r="J49" s="322">
        <v>11.03</v>
      </c>
    </row>
    <row r="50" spans="1:10" x14ac:dyDescent="0.2">
      <c r="A50" s="317" t="s">
        <v>1133</v>
      </c>
      <c r="B50" s="317" t="s">
        <v>318</v>
      </c>
      <c r="C50" s="318">
        <v>43998</v>
      </c>
      <c r="D50" s="319" t="s">
        <v>1147</v>
      </c>
      <c r="E50" s="317" t="s">
        <v>1146</v>
      </c>
      <c r="F50" s="320" t="s">
        <v>1139</v>
      </c>
      <c r="G50" s="321">
        <v>6161</v>
      </c>
      <c r="H50" s="321">
        <v>11595</v>
      </c>
      <c r="I50" s="322"/>
      <c r="J50" s="322">
        <v>12.09</v>
      </c>
    </row>
    <row r="51" spans="1:10" x14ac:dyDescent="0.2">
      <c r="A51" s="317" t="s">
        <v>1133</v>
      </c>
      <c r="B51" s="317" t="s">
        <v>318</v>
      </c>
      <c r="C51" s="318">
        <v>44012</v>
      </c>
      <c r="D51" s="319" t="s">
        <v>1134</v>
      </c>
      <c r="E51" s="317" t="s">
        <v>1148</v>
      </c>
      <c r="F51" s="320" t="s">
        <v>1113</v>
      </c>
      <c r="G51" s="321">
        <v>6181</v>
      </c>
      <c r="H51" s="321"/>
      <c r="I51" s="322">
        <v>12.05</v>
      </c>
      <c r="J51" s="322"/>
    </row>
    <row r="52" spans="1:10" x14ac:dyDescent="0.2">
      <c r="A52" s="317" t="s">
        <v>1133</v>
      </c>
      <c r="B52" s="317" t="s">
        <v>318</v>
      </c>
      <c r="C52" s="318">
        <v>44012</v>
      </c>
      <c r="D52" s="319" t="s">
        <v>1134</v>
      </c>
      <c r="E52" s="317" t="s">
        <v>1149</v>
      </c>
      <c r="F52" s="320" t="s">
        <v>1113</v>
      </c>
      <c r="G52" s="321">
        <v>6181</v>
      </c>
      <c r="H52" s="321"/>
      <c r="I52" s="322">
        <v>7.98</v>
      </c>
      <c r="J52" s="322"/>
    </row>
    <row r="53" spans="1:10" x14ac:dyDescent="0.2">
      <c r="A53" s="317" t="s">
        <v>1133</v>
      </c>
      <c r="B53" s="317" t="s">
        <v>318</v>
      </c>
      <c r="C53" s="318">
        <v>44012</v>
      </c>
      <c r="D53" s="319" t="s">
        <v>1134</v>
      </c>
      <c r="E53" s="317" t="s">
        <v>1150</v>
      </c>
      <c r="F53" s="320" t="s">
        <v>1113</v>
      </c>
      <c r="G53" s="321">
        <v>6181</v>
      </c>
      <c r="H53" s="321"/>
      <c r="I53" s="322">
        <v>6.52</v>
      </c>
      <c r="J53" s="322"/>
    </row>
    <row r="54" spans="1:10" x14ac:dyDescent="0.2">
      <c r="A54" s="317" t="s">
        <v>1133</v>
      </c>
      <c r="B54" s="317" t="s">
        <v>318</v>
      </c>
      <c r="C54" s="318">
        <v>44012</v>
      </c>
      <c r="D54" s="319" t="s">
        <v>1134</v>
      </c>
      <c r="E54" s="317" t="s">
        <v>1148</v>
      </c>
      <c r="F54" s="320" t="s">
        <v>1113</v>
      </c>
      <c r="G54" s="321">
        <v>6181</v>
      </c>
      <c r="H54" s="321"/>
      <c r="I54" s="322">
        <v>12.09</v>
      </c>
      <c r="J54" s="322"/>
    </row>
    <row r="55" spans="1:10" x14ac:dyDescent="0.2">
      <c r="A55" s="317" t="s">
        <v>1133</v>
      </c>
      <c r="B55" s="317" t="s">
        <v>318</v>
      </c>
      <c r="C55" s="318">
        <v>44012</v>
      </c>
      <c r="D55" s="319" t="s">
        <v>1134</v>
      </c>
      <c r="E55" s="317" t="s">
        <v>1151</v>
      </c>
      <c r="F55" s="320" t="s">
        <v>1113</v>
      </c>
      <c r="G55" s="321">
        <v>6181</v>
      </c>
      <c r="H55" s="321"/>
      <c r="I55" s="322">
        <v>8.6999999999999993</v>
      </c>
      <c r="J55" s="322"/>
    </row>
    <row r="56" spans="1:10" x14ac:dyDescent="0.2">
      <c r="A56" s="317" t="s">
        <v>1133</v>
      </c>
      <c r="B56" s="317" t="s">
        <v>318</v>
      </c>
      <c r="C56" s="318">
        <v>44012</v>
      </c>
      <c r="D56" s="319" t="s">
        <v>1134</v>
      </c>
      <c r="E56" s="317" t="s">
        <v>1148</v>
      </c>
      <c r="F56" s="320" t="s">
        <v>1113</v>
      </c>
      <c r="G56" s="321">
        <v>6181</v>
      </c>
      <c r="H56" s="321"/>
      <c r="I56" s="322">
        <v>11.03</v>
      </c>
      <c r="J56" s="322"/>
    </row>
    <row r="57" spans="1:10" x14ac:dyDescent="0.2">
      <c r="A57" s="317" t="s">
        <v>1133</v>
      </c>
      <c r="B57" s="317" t="s">
        <v>318</v>
      </c>
      <c r="C57" s="318">
        <v>44012</v>
      </c>
      <c r="D57" s="319" t="s">
        <v>1134</v>
      </c>
      <c r="E57" s="317" t="s">
        <v>1152</v>
      </c>
      <c r="F57" s="320" t="s">
        <v>1113</v>
      </c>
      <c r="G57" s="321">
        <v>6181</v>
      </c>
      <c r="H57" s="321"/>
      <c r="I57" s="322">
        <v>9.77</v>
      </c>
      <c r="J57" s="322"/>
    </row>
    <row r="58" spans="1:10" x14ac:dyDescent="0.2">
      <c r="A58" s="317" t="s">
        <v>1133</v>
      </c>
      <c r="B58" s="317" t="s">
        <v>318</v>
      </c>
      <c r="C58" s="318">
        <v>44012</v>
      </c>
      <c r="D58" s="319" t="s">
        <v>1134</v>
      </c>
      <c r="E58" s="317" t="s">
        <v>1153</v>
      </c>
      <c r="F58" s="320" t="s">
        <v>1113</v>
      </c>
      <c r="G58" s="321">
        <v>6181</v>
      </c>
      <c r="H58" s="321"/>
      <c r="I58" s="322">
        <v>8.36</v>
      </c>
      <c r="J58" s="322"/>
    </row>
    <row r="59" spans="1:10" x14ac:dyDescent="0.2">
      <c r="A59" s="317" t="s">
        <v>1110</v>
      </c>
      <c r="B59" s="317" t="s">
        <v>318</v>
      </c>
      <c r="C59" s="318">
        <v>43998</v>
      </c>
      <c r="D59" s="319" t="s">
        <v>1147</v>
      </c>
      <c r="E59" s="317" t="s">
        <v>1146</v>
      </c>
      <c r="F59" s="320" t="s">
        <v>1139</v>
      </c>
      <c r="G59" s="321">
        <v>6161</v>
      </c>
      <c r="H59" s="321">
        <v>11594</v>
      </c>
      <c r="I59" s="322"/>
      <c r="J59" s="322">
        <v>12.05</v>
      </c>
    </row>
    <row r="60" spans="1:10" x14ac:dyDescent="0.2">
      <c r="A60" s="317" t="s">
        <v>1110</v>
      </c>
      <c r="B60" s="317" t="s">
        <v>318</v>
      </c>
      <c r="C60" s="318">
        <v>44012</v>
      </c>
      <c r="D60" s="319" t="s">
        <v>1134</v>
      </c>
      <c r="E60" s="317" t="s">
        <v>1154</v>
      </c>
      <c r="F60" s="320" t="s">
        <v>1113</v>
      </c>
      <c r="G60" s="321">
        <v>6181</v>
      </c>
      <c r="H60" s="321"/>
      <c r="I60" s="322">
        <v>20.57</v>
      </c>
      <c r="J60" s="322"/>
    </row>
    <row r="61" spans="1:10" x14ac:dyDescent="0.2">
      <c r="A61" s="306"/>
      <c r="B61" s="306"/>
      <c r="C61" s="306"/>
      <c r="D61" s="306"/>
      <c r="E61" s="306"/>
      <c r="F61" s="306"/>
      <c r="G61" s="306"/>
      <c r="H61" s="306"/>
      <c r="I61" s="323">
        <v>117.92000000000002</v>
      </c>
      <c r="J61" s="323">
        <v>101.31</v>
      </c>
    </row>
    <row r="62" spans="1:10" x14ac:dyDescent="0.2">
      <c r="A62" s="306"/>
      <c r="B62" s="306"/>
      <c r="C62" s="306"/>
      <c r="D62" s="306"/>
      <c r="E62" s="306"/>
      <c r="F62" s="306"/>
      <c r="G62" s="306"/>
      <c r="H62" s="306"/>
      <c r="I62" s="306"/>
      <c r="J62" s="306"/>
    </row>
    <row r="63" spans="1:10" x14ac:dyDescent="0.2">
      <c r="A63" s="316" t="s">
        <v>1155</v>
      </c>
      <c r="B63" s="311"/>
      <c r="C63" s="311"/>
      <c r="D63" s="311"/>
      <c r="E63" s="311"/>
      <c r="F63" s="311"/>
      <c r="G63" s="311"/>
      <c r="H63" s="311"/>
      <c r="I63" s="311"/>
      <c r="J63" s="311"/>
    </row>
    <row r="64" spans="1:10" s="194" customFormat="1" x14ac:dyDescent="0.2">
      <c r="A64" s="357" t="s">
        <v>1110</v>
      </c>
      <c r="B64" s="357" t="s">
        <v>318</v>
      </c>
      <c r="C64" s="358">
        <v>44012</v>
      </c>
      <c r="D64" s="359" t="s">
        <v>1115</v>
      </c>
      <c r="E64" s="357" t="s">
        <v>1156</v>
      </c>
      <c r="F64" s="360" t="s">
        <v>1113</v>
      </c>
      <c r="G64" s="361">
        <v>6181</v>
      </c>
      <c r="H64" s="361"/>
      <c r="I64" s="362">
        <v>19.649999999999999</v>
      </c>
      <c r="J64" s="362"/>
    </row>
    <row r="65" spans="1:10" x14ac:dyDescent="0.2">
      <c r="A65" s="306"/>
      <c r="B65" s="306"/>
      <c r="C65" s="306"/>
      <c r="D65" s="306"/>
      <c r="E65" s="306"/>
      <c r="F65" s="306"/>
      <c r="G65" s="306"/>
      <c r="H65" s="306"/>
      <c r="I65" s="323">
        <v>19.649999999999999</v>
      </c>
      <c r="J65" s="323">
        <v>0</v>
      </c>
    </row>
    <row r="66" spans="1:10" x14ac:dyDescent="0.2">
      <c r="A66" s="306"/>
      <c r="B66" s="306"/>
      <c r="C66" s="306"/>
      <c r="D66" s="306"/>
      <c r="E66" s="306"/>
      <c r="F66" s="306"/>
      <c r="G66" s="306"/>
      <c r="H66" s="306"/>
      <c r="I66" s="306"/>
      <c r="J66" s="306"/>
    </row>
    <row r="67" spans="1:10" x14ac:dyDescent="0.2">
      <c r="A67" s="316" t="s">
        <v>1157</v>
      </c>
      <c r="B67" s="311"/>
      <c r="C67" s="311"/>
      <c r="D67" s="311"/>
      <c r="E67" s="311"/>
      <c r="F67" s="311"/>
      <c r="G67" s="311"/>
      <c r="H67" s="311"/>
      <c r="I67" s="311"/>
      <c r="J67" s="311"/>
    </row>
    <row r="68" spans="1:10" s="194" customFormat="1" x14ac:dyDescent="0.2">
      <c r="A68" s="357" t="s">
        <v>1110</v>
      </c>
      <c r="B68" s="357" t="s">
        <v>1158</v>
      </c>
      <c r="C68" s="358">
        <v>44012</v>
      </c>
      <c r="D68" s="359" t="s">
        <v>293</v>
      </c>
      <c r="E68" s="357" t="s">
        <v>1159</v>
      </c>
      <c r="F68" s="360" t="s">
        <v>1113</v>
      </c>
      <c r="G68" s="361">
        <v>6180</v>
      </c>
      <c r="H68" s="361"/>
      <c r="I68" s="362">
        <v>36.71</v>
      </c>
      <c r="J68" s="362"/>
    </row>
    <row r="69" spans="1:10" x14ac:dyDescent="0.2">
      <c r="A69" s="306"/>
      <c r="B69" s="306"/>
      <c r="C69" s="306"/>
      <c r="D69" s="306"/>
      <c r="E69" s="306"/>
      <c r="F69" s="306"/>
      <c r="G69" s="306"/>
      <c r="H69" s="306"/>
      <c r="I69" s="323">
        <v>36.71</v>
      </c>
      <c r="J69" s="323">
        <v>0</v>
      </c>
    </row>
    <row r="70" spans="1:10" x14ac:dyDescent="0.2">
      <c r="A70" s="306"/>
      <c r="B70" s="306"/>
      <c r="C70" s="306"/>
      <c r="D70" s="306"/>
      <c r="E70" s="306"/>
      <c r="F70" s="306"/>
      <c r="G70" s="306"/>
      <c r="H70" s="306"/>
      <c r="I70" s="306"/>
      <c r="J70" s="306"/>
    </row>
    <row r="71" spans="1:10" x14ac:dyDescent="0.2">
      <c r="A71" s="316" t="s">
        <v>1160</v>
      </c>
      <c r="B71" s="311"/>
      <c r="C71" s="311"/>
      <c r="D71" s="311"/>
      <c r="E71" s="311"/>
      <c r="F71" s="311"/>
      <c r="G71" s="311"/>
      <c r="H71" s="311"/>
      <c r="I71" s="311"/>
      <c r="J71" s="311"/>
    </row>
    <row r="72" spans="1:10" x14ac:dyDescent="0.2">
      <c r="A72" s="317" t="s">
        <v>1110</v>
      </c>
      <c r="B72" s="317" t="s">
        <v>318</v>
      </c>
      <c r="C72" s="318">
        <v>43950</v>
      </c>
      <c r="D72" s="319" t="s">
        <v>293</v>
      </c>
      <c r="E72" s="317" t="s">
        <v>1161</v>
      </c>
      <c r="F72" s="320" t="s">
        <v>1113</v>
      </c>
      <c r="G72" s="321">
        <v>6071</v>
      </c>
      <c r="H72" s="321"/>
      <c r="I72" s="322"/>
      <c r="J72" s="322">
        <v>350</v>
      </c>
    </row>
    <row r="73" spans="1:10" x14ac:dyDescent="0.2">
      <c r="A73" s="306"/>
      <c r="B73" s="306"/>
      <c r="C73" s="306"/>
      <c r="D73" s="306"/>
      <c r="E73" s="306"/>
      <c r="F73" s="306"/>
      <c r="G73" s="306"/>
      <c r="H73" s="306"/>
      <c r="I73" s="323">
        <v>0</v>
      </c>
      <c r="J73" s="323">
        <v>350</v>
      </c>
    </row>
    <row r="74" spans="1:10" x14ac:dyDescent="0.2">
      <c r="A74" s="306"/>
      <c r="B74" s="306"/>
      <c r="C74" s="306"/>
      <c r="D74" s="306"/>
      <c r="E74" s="306"/>
      <c r="F74" s="306"/>
      <c r="G74" s="306"/>
      <c r="H74" s="306"/>
      <c r="I74" s="306"/>
      <c r="J74" s="306"/>
    </row>
    <row r="75" spans="1:10" x14ac:dyDescent="0.2">
      <c r="A75" s="316" t="s">
        <v>1162</v>
      </c>
      <c r="B75" s="311"/>
      <c r="C75" s="311"/>
      <c r="D75" s="311"/>
      <c r="E75" s="311"/>
      <c r="F75" s="311"/>
      <c r="G75" s="311"/>
      <c r="H75" s="311"/>
      <c r="I75" s="311"/>
      <c r="J75" s="311"/>
    </row>
    <row r="76" spans="1:10" s="194" customFormat="1" x14ac:dyDescent="0.2">
      <c r="A76" s="357" t="s">
        <v>1110</v>
      </c>
      <c r="B76" s="357" t="s">
        <v>318</v>
      </c>
      <c r="C76" s="358">
        <v>43924</v>
      </c>
      <c r="D76" s="359" t="s">
        <v>1163</v>
      </c>
      <c r="E76" s="357" t="s">
        <v>1164</v>
      </c>
      <c r="F76" s="360" t="s">
        <v>1119</v>
      </c>
      <c r="G76" s="361">
        <v>6061</v>
      </c>
      <c r="H76" s="361">
        <v>49038</v>
      </c>
      <c r="I76" s="362">
        <v>46.55</v>
      </c>
      <c r="J76" s="362"/>
    </row>
    <row r="77" spans="1:10" s="194" customFormat="1" x14ac:dyDescent="0.2">
      <c r="A77" s="357" t="s">
        <v>1110</v>
      </c>
      <c r="B77" s="357" t="s">
        <v>318</v>
      </c>
      <c r="C77" s="358">
        <v>43955</v>
      </c>
      <c r="D77" s="359" t="s">
        <v>1165</v>
      </c>
      <c r="E77" s="357" t="s">
        <v>1166</v>
      </c>
      <c r="F77" s="360" t="s">
        <v>1119</v>
      </c>
      <c r="G77" s="361">
        <v>6111</v>
      </c>
      <c r="H77" s="361">
        <v>49330</v>
      </c>
      <c r="I77" s="362">
        <v>29.46</v>
      </c>
      <c r="J77" s="362"/>
    </row>
    <row r="78" spans="1:10" s="194" customFormat="1" x14ac:dyDescent="0.2">
      <c r="A78" s="357" t="s">
        <v>1110</v>
      </c>
      <c r="B78" s="357" t="s">
        <v>318</v>
      </c>
      <c r="C78" s="358">
        <v>43955</v>
      </c>
      <c r="D78" s="359" t="s">
        <v>1167</v>
      </c>
      <c r="E78" s="357" t="s">
        <v>1168</v>
      </c>
      <c r="F78" s="360" t="s">
        <v>1119</v>
      </c>
      <c r="G78" s="361">
        <v>6133</v>
      </c>
      <c r="H78" s="361">
        <v>49572</v>
      </c>
      <c r="I78" s="362">
        <v>41.91</v>
      </c>
      <c r="J78" s="362"/>
    </row>
    <row r="79" spans="1:10" x14ac:dyDescent="0.2">
      <c r="A79" s="306"/>
      <c r="B79" s="306"/>
      <c r="C79" s="306"/>
      <c r="D79" s="306"/>
      <c r="E79" s="306"/>
      <c r="F79" s="306"/>
      <c r="G79" s="306"/>
      <c r="H79" s="306"/>
      <c r="I79" s="323">
        <v>117.91999999999999</v>
      </c>
      <c r="J79" s="323">
        <v>0</v>
      </c>
    </row>
    <row r="80" spans="1:10" x14ac:dyDescent="0.2">
      <c r="A80" s="306"/>
      <c r="B80" s="306"/>
      <c r="C80" s="306"/>
      <c r="D80" s="306"/>
      <c r="E80" s="306"/>
      <c r="F80" s="306"/>
      <c r="G80" s="306"/>
      <c r="H80" s="306"/>
      <c r="I80" s="306"/>
      <c r="J80" s="306"/>
    </row>
    <row r="81" spans="1:10" x14ac:dyDescent="0.2">
      <c r="A81" s="306"/>
      <c r="B81" s="306"/>
      <c r="C81" s="306"/>
      <c r="D81" s="306"/>
      <c r="E81" s="306"/>
      <c r="F81" s="306"/>
      <c r="G81" s="306"/>
      <c r="H81" s="306"/>
      <c r="I81" s="306"/>
      <c r="J81" s="306"/>
    </row>
    <row r="82" spans="1:10" ht="13.5" thickBot="1" x14ac:dyDescent="0.25">
      <c r="H82" s="191" t="s">
        <v>1169</v>
      </c>
      <c r="I82" s="324">
        <f>I13+I14+I15+I16+I64+I68+I79</f>
        <v>2333.5000000000005</v>
      </c>
    </row>
    <row r="83" spans="1:10" ht="13.5" thickTop="1" x14ac:dyDescent="0.2"/>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B292-9E91-4586-9541-F58DDF7A2DDE}">
  <sheetPr>
    <tabColor theme="7"/>
  </sheetPr>
  <dimension ref="A1:L353"/>
  <sheetViews>
    <sheetView topLeftCell="A164" workbookViewId="0">
      <selection activeCell="E29" sqref="E29"/>
    </sheetView>
  </sheetViews>
  <sheetFormatPr defaultRowHeight="12.75" x14ac:dyDescent="0.2"/>
  <cols>
    <col min="1" max="1" width="17.140625" customWidth="1"/>
    <col min="2" max="2" width="16.140625" customWidth="1"/>
    <col min="3" max="3" width="12.85546875" bestFit="1" customWidth="1"/>
    <col min="4" max="4" width="24.140625" bestFit="1" customWidth="1"/>
    <col min="5" max="5" width="60.140625" bestFit="1" customWidth="1"/>
    <col min="9" max="9" width="20.140625" customWidth="1"/>
    <col min="10" max="10" width="24.85546875" customWidth="1"/>
    <col min="12" max="12" width="9.7109375" bestFit="1" customWidth="1"/>
  </cols>
  <sheetData>
    <row r="1" spans="1:12" ht="16.5" x14ac:dyDescent="0.25">
      <c r="A1" s="307" t="s">
        <v>1095</v>
      </c>
      <c r="B1" s="306"/>
      <c r="C1" s="306"/>
      <c r="D1" s="306"/>
      <c r="E1" s="306"/>
      <c r="F1" s="306"/>
      <c r="G1" s="306"/>
      <c r="H1" s="306"/>
      <c r="I1" s="306"/>
      <c r="J1" s="306"/>
    </row>
    <row r="2" spans="1:12" ht="16.5" x14ac:dyDescent="0.25">
      <c r="A2" s="307" t="s">
        <v>53</v>
      </c>
      <c r="B2" s="306"/>
      <c r="C2" s="306"/>
      <c r="D2" s="306"/>
      <c r="E2" s="306"/>
      <c r="F2" s="306"/>
      <c r="G2" s="306"/>
      <c r="H2" s="306"/>
      <c r="I2" s="306"/>
      <c r="J2" s="306"/>
    </row>
    <row r="3" spans="1:12" x14ac:dyDescent="0.2">
      <c r="A3" s="306" t="s">
        <v>1096</v>
      </c>
      <c r="B3" s="308">
        <v>43917</v>
      </c>
      <c r="C3" s="306" t="s">
        <v>1097</v>
      </c>
      <c r="D3" s="309" t="s">
        <v>1170</v>
      </c>
      <c r="E3" s="306"/>
      <c r="F3" s="306"/>
      <c r="G3" s="306"/>
      <c r="H3" s="306"/>
      <c r="I3" s="306"/>
      <c r="J3" s="306"/>
    </row>
    <row r="4" spans="1:12" ht="15" x14ac:dyDescent="0.2">
      <c r="A4" s="310" t="s">
        <v>1171</v>
      </c>
      <c r="B4" s="310"/>
      <c r="C4" s="310"/>
      <c r="D4" s="310"/>
      <c r="E4" s="310"/>
      <c r="F4" s="310"/>
      <c r="G4" s="310"/>
      <c r="H4" s="310"/>
      <c r="I4" s="310"/>
      <c r="J4" s="310"/>
    </row>
    <row r="6" spans="1:12" ht="25.5" x14ac:dyDescent="0.2">
      <c r="A6" s="312" t="s">
        <v>1100</v>
      </c>
      <c r="B6" s="312" t="s">
        <v>1101</v>
      </c>
      <c r="C6" s="313" t="s">
        <v>1102</v>
      </c>
      <c r="D6" s="313" t="s">
        <v>1103</v>
      </c>
      <c r="E6" s="312" t="s">
        <v>237</v>
      </c>
      <c r="F6" s="314" t="s">
        <v>1104</v>
      </c>
      <c r="G6" s="315" t="s">
        <v>1105</v>
      </c>
      <c r="H6" s="313" t="s">
        <v>1106</v>
      </c>
      <c r="I6" s="313" t="s">
        <v>1107</v>
      </c>
      <c r="J6" s="313" t="s">
        <v>1108</v>
      </c>
    </row>
    <row r="7" spans="1:12" x14ac:dyDescent="0.2">
      <c r="A7" s="316" t="s">
        <v>1109</v>
      </c>
      <c r="B7" s="311"/>
      <c r="C7" s="311"/>
      <c r="D7" s="311"/>
      <c r="E7" s="311"/>
      <c r="F7" s="311"/>
      <c r="G7" s="311"/>
      <c r="H7" s="311"/>
      <c r="I7" s="311"/>
      <c r="J7" s="311"/>
    </row>
    <row r="8" spans="1:12" x14ac:dyDescent="0.2">
      <c r="A8" s="317" t="s">
        <v>1110</v>
      </c>
      <c r="B8" s="317" t="s">
        <v>318</v>
      </c>
      <c r="C8" s="318">
        <v>43780</v>
      </c>
      <c r="D8" s="319" t="s">
        <v>1172</v>
      </c>
      <c r="E8" s="317" t="s">
        <v>1173</v>
      </c>
      <c r="F8" s="320" t="s">
        <v>1119</v>
      </c>
      <c r="G8" s="321">
        <v>5847</v>
      </c>
      <c r="H8" s="321">
        <v>47568</v>
      </c>
      <c r="I8" s="322">
        <v>1100</v>
      </c>
      <c r="J8" s="322"/>
    </row>
    <row r="9" spans="1:12" x14ac:dyDescent="0.2">
      <c r="A9" s="306"/>
      <c r="B9" s="306"/>
      <c r="C9" s="306"/>
      <c r="D9" s="306"/>
      <c r="E9" s="306"/>
      <c r="F9" s="306"/>
      <c r="G9" s="306"/>
      <c r="H9" s="306"/>
      <c r="I9" s="323">
        <v>1100</v>
      </c>
      <c r="J9" s="323">
        <v>0</v>
      </c>
      <c r="L9" s="406">
        <f>I9-J9</f>
        <v>1100</v>
      </c>
    </row>
    <row r="10" spans="1:12" x14ac:dyDescent="0.2">
      <c r="A10" s="306"/>
      <c r="B10" s="306"/>
      <c r="C10" s="306"/>
      <c r="D10" s="306"/>
      <c r="E10" s="306"/>
      <c r="F10" s="306"/>
      <c r="G10" s="306"/>
      <c r="H10" s="306"/>
      <c r="I10" s="306"/>
      <c r="J10" s="306"/>
    </row>
    <row r="11" spans="1:12" x14ac:dyDescent="0.2">
      <c r="A11" s="316" t="s">
        <v>1114</v>
      </c>
      <c r="B11" s="311"/>
      <c r="C11" s="311"/>
      <c r="D11" s="311"/>
      <c r="E11" s="311"/>
      <c r="F11" s="311"/>
      <c r="G11" s="311"/>
      <c r="H11" s="311"/>
      <c r="I11" s="311"/>
      <c r="J11" s="311"/>
    </row>
    <row r="12" spans="1:12" x14ac:dyDescent="0.2">
      <c r="A12" s="317" t="s">
        <v>1110</v>
      </c>
      <c r="B12" s="317" t="s">
        <v>318</v>
      </c>
      <c r="C12" s="318">
        <v>43811</v>
      </c>
      <c r="D12" s="319" t="s">
        <v>1174</v>
      </c>
      <c r="E12" s="317" t="s">
        <v>1175</v>
      </c>
      <c r="F12" s="320" t="s">
        <v>1113</v>
      </c>
      <c r="G12" s="321">
        <v>5867</v>
      </c>
      <c r="H12" s="321"/>
      <c r="I12" s="322">
        <v>693.91</v>
      </c>
      <c r="J12" s="322"/>
    </row>
    <row r="13" spans="1:12" x14ac:dyDescent="0.2">
      <c r="A13" s="306"/>
      <c r="B13" s="306"/>
      <c r="C13" s="306"/>
      <c r="D13" s="306"/>
      <c r="E13" s="306"/>
      <c r="F13" s="306"/>
      <c r="G13" s="306"/>
      <c r="H13" s="306"/>
      <c r="I13" s="323">
        <v>693.91</v>
      </c>
      <c r="J13" s="323">
        <v>0</v>
      </c>
      <c r="L13" s="406">
        <f>I13-J13</f>
        <v>693.91</v>
      </c>
    </row>
    <row r="14" spans="1:12" x14ac:dyDescent="0.2">
      <c r="A14" s="306"/>
      <c r="B14" s="306"/>
      <c r="C14" s="306"/>
      <c r="D14" s="306"/>
      <c r="E14" s="306"/>
      <c r="F14" s="306"/>
      <c r="G14" s="306"/>
      <c r="H14" s="306"/>
      <c r="I14" s="306"/>
      <c r="J14" s="306"/>
    </row>
    <row r="15" spans="1:12" x14ac:dyDescent="0.2">
      <c r="A15" s="316" t="s">
        <v>1176</v>
      </c>
      <c r="B15" s="311"/>
      <c r="C15" s="311"/>
      <c r="D15" s="311"/>
      <c r="E15" s="311"/>
      <c r="F15" s="311"/>
      <c r="G15" s="311"/>
      <c r="H15" s="311"/>
      <c r="I15" s="311"/>
      <c r="J15" s="311"/>
    </row>
    <row r="16" spans="1:12" x14ac:dyDescent="0.2">
      <c r="A16" s="317" t="s">
        <v>1110</v>
      </c>
      <c r="B16" s="317" t="s">
        <v>318</v>
      </c>
      <c r="C16" s="318">
        <v>43780</v>
      </c>
      <c r="D16" s="319" t="s">
        <v>1177</v>
      </c>
      <c r="E16" s="317" t="s">
        <v>1178</v>
      </c>
      <c r="F16" s="320" t="s">
        <v>1119</v>
      </c>
      <c r="G16" s="321">
        <v>5866</v>
      </c>
      <c r="H16" s="321">
        <v>47591</v>
      </c>
      <c r="I16" s="322">
        <v>37.74</v>
      </c>
      <c r="J16" s="322"/>
    </row>
    <row r="17" spans="1:12" x14ac:dyDescent="0.2">
      <c r="A17" s="306"/>
      <c r="B17" s="306"/>
      <c r="C17" s="306"/>
      <c r="D17" s="306"/>
      <c r="E17" s="306"/>
      <c r="F17" s="306"/>
      <c r="G17" s="306"/>
      <c r="H17" s="306"/>
      <c r="I17" s="323">
        <v>37.74</v>
      </c>
      <c r="J17" s="323">
        <v>0</v>
      </c>
      <c r="L17" s="406">
        <f>I17-J17</f>
        <v>37.74</v>
      </c>
    </row>
    <row r="18" spans="1:12" x14ac:dyDescent="0.2">
      <c r="A18" s="306"/>
      <c r="B18" s="306"/>
      <c r="C18" s="306"/>
      <c r="D18" s="306"/>
      <c r="E18" s="306"/>
      <c r="F18" s="306"/>
      <c r="G18" s="306"/>
      <c r="H18" s="306"/>
      <c r="I18" s="306"/>
      <c r="J18" s="306"/>
    </row>
    <row r="19" spans="1:12" x14ac:dyDescent="0.2">
      <c r="A19" s="316" t="s">
        <v>1179</v>
      </c>
      <c r="B19" s="311"/>
      <c r="C19" s="311"/>
      <c r="D19" s="311"/>
      <c r="E19" s="311"/>
      <c r="F19" s="311"/>
      <c r="G19" s="311"/>
      <c r="H19" s="311"/>
      <c r="I19" s="311"/>
      <c r="J19" s="311"/>
    </row>
    <row r="20" spans="1:12" x14ac:dyDescent="0.2">
      <c r="A20" s="317" t="s">
        <v>1110</v>
      </c>
      <c r="B20" s="317" t="s">
        <v>318</v>
      </c>
      <c r="C20" s="318">
        <v>43770</v>
      </c>
      <c r="D20" s="319" t="s">
        <v>1134</v>
      </c>
      <c r="E20" s="317" t="s">
        <v>1180</v>
      </c>
      <c r="F20" s="320" t="s">
        <v>1113</v>
      </c>
      <c r="G20" s="321">
        <v>5808</v>
      </c>
      <c r="H20" s="321"/>
      <c r="I20" s="322"/>
      <c r="J20" s="322">
        <v>398.54</v>
      </c>
    </row>
    <row r="21" spans="1:12" x14ac:dyDescent="0.2">
      <c r="A21" s="317" t="s">
        <v>1110</v>
      </c>
      <c r="B21" s="317" t="s">
        <v>318</v>
      </c>
      <c r="C21" s="318">
        <v>43799</v>
      </c>
      <c r="D21" s="319" t="s">
        <v>1115</v>
      </c>
      <c r="E21" s="317" t="s">
        <v>1181</v>
      </c>
      <c r="F21" s="320" t="s">
        <v>1113</v>
      </c>
      <c r="G21" s="321">
        <v>5853</v>
      </c>
      <c r="H21" s="321"/>
      <c r="I21" s="322">
        <v>7.83</v>
      </c>
      <c r="J21" s="322"/>
    </row>
    <row r="22" spans="1:12" x14ac:dyDescent="0.2">
      <c r="A22" s="306"/>
      <c r="B22" s="306"/>
      <c r="C22" s="306"/>
      <c r="D22" s="306"/>
      <c r="E22" s="306"/>
      <c r="F22" s="306"/>
      <c r="G22" s="306"/>
      <c r="H22" s="306"/>
      <c r="I22" s="323">
        <v>7.83</v>
      </c>
      <c r="J22" s="323">
        <v>398.54</v>
      </c>
      <c r="L22" s="406">
        <f>I22-J22</f>
        <v>-390.71000000000004</v>
      </c>
    </row>
    <row r="23" spans="1:12" x14ac:dyDescent="0.2">
      <c r="A23" s="306"/>
      <c r="B23" s="306"/>
      <c r="C23" s="306"/>
      <c r="D23" s="306"/>
      <c r="E23" s="306"/>
      <c r="F23" s="306"/>
      <c r="G23" s="306"/>
      <c r="H23" s="306"/>
      <c r="I23" s="306"/>
      <c r="J23" s="306"/>
    </row>
    <row r="24" spans="1:12" x14ac:dyDescent="0.2">
      <c r="A24" s="316" t="s">
        <v>1182</v>
      </c>
      <c r="B24" s="311"/>
      <c r="C24" s="311"/>
      <c r="D24" s="311"/>
      <c r="E24" s="311"/>
      <c r="F24" s="311"/>
      <c r="G24" s="311"/>
      <c r="H24" s="311"/>
      <c r="I24" s="311"/>
      <c r="J24" s="311"/>
    </row>
    <row r="25" spans="1:12" x14ac:dyDescent="0.2">
      <c r="A25" s="317" t="s">
        <v>493</v>
      </c>
      <c r="B25" s="317" t="s">
        <v>318</v>
      </c>
      <c r="C25" s="318">
        <v>43811</v>
      </c>
      <c r="D25" s="319" t="s">
        <v>1174</v>
      </c>
      <c r="E25" s="317" t="s">
        <v>1183</v>
      </c>
      <c r="F25" s="320" t="s">
        <v>1113</v>
      </c>
      <c r="G25" s="321">
        <v>5867</v>
      </c>
      <c r="H25" s="321"/>
      <c r="I25" s="322">
        <v>7.83</v>
      </c>
      <c r="J25" s="322"/>
    </row>
    <row r="26" spans="1:12" x14ac:dyDescent="0.2">
      <c r="A26" s="317" t="s">
        <v>493</v>
      </c>
      <c r="B26" s="317" t="s">
        <v>318</v>
      </c>
      <c r="C26" s="318">
        <v>43811</v>
      </c>
      <c r="D26" s="319" t="s">
        <v>1174</v>
      </c>
      <c r="E26" s="317" t="s">
        <v>1184</v>
      </c>
      <c r="F26" s="320" t="s">
        <v>1113</v>
      </c>
      <c r="G26" s="321">
        <v>5867</v>
      </c>
      <c r="H26" s="321"/>
      <c r="I26" s="322">
        <v>8.7799999999999994</v>
      </c>
      <c r="J26" s="322"/>
    </row>
    <row r="27" spans="1:12" x14ac:dyDescent="0.2">
      <c r="A27" s="317" t="s">
        <v>1110</v>
      </c>
      <c r="B27" s="317" t="s">
        <v>318</v>
      </c>
      <c r="C27" s="318">
        <v>43770</v>
      </c>
      <c r="D27" s="319" t="s">
        <v>1115</v>
      </c>
      <c r="E27" s="317" t="s">
        <v>1180</v>
      </c>
      <c r="F27" s="320" t="s">
        <v>1113</v>
      </c>
      <c r="G27" s="321">
        <v>5808</v>
      </c>
      <c r="H27" s="321"/>
      <c r="I27" s="322"/>
      <c r="J27" s="322">
        <v>25.2</v>
      </c>
    </row>
    <row r="28" spans="1:12" x14ac:dyDescent="0.2">
      <c r="A28" s="317" t="s">
        <v>1110</v>
      </c>
      <c r="B28" s="317" t="s">
        <v>318</v>
      </c>
      <c r="C28" s="318">
        <v>43890</v>
      </c>
      <c r="D28" s="319" t="s">
        <v>1115</v>
      </c>
      <c r="E28" s="317" t="s">
        <v>1185</v>
      </c>
      <c r="F28" s="320" t="s">
        <v>1113</v>
      </c>
      <c r="G28" s="321">
        <v>5973</v>
      </c>
      <c r="H28" s="321"/>
      <c r="I28" s="322">
        <v>540.16999999999996</v>
      </c>
      <c r="J28" s="322"/>
    </row>
    <row r="29" spans="1:12" x14ac:dyDescent="0.2">
      <c r="A29" s="317" t="s">
        <v>1110</v>
      </c>
      <c r="B29" s="317" t="s">
        <v>318</v>
      </c>
      <c r="C29" s="318">
        <v>43890</v>
      </c>
      <c r="D29" s="319" t="s">
        <v>1111</v>
      </c>
      <c r="E29" s="317" t="s">
        <v>1186</v>
      </c>
      <c r="F29" s="320" t="s">
        <v>1113</v>
      </c>
      <c r="G29" s="321">
        <v>5997</v>
      </c>
      <c r="H29" s="321"/>
      <c r="I29" s="322">
        <v>320.87</v>
      </c>
      <c r="J29" s="322"/>
    </row>
    <row r="30" spans="1:12" x14ac:dyDescent="0.2">
      <c r="A30" s="306"/>
      <c r="B30" s="306"/>
      <c r="C30" s="306"/>
      <c r="D30" s="306"/>
      <c r="E30" s="306"/>
      <c r="F30" s="306"/>
      <c r="G30" s="306"/>
      <c r="H30" s="306"/>
      <c r="I30" s="323">
        <v>877.65</v>
      </c>
      <c r="J30" s="323">
        <v>25.2</v>
      </c>
      <c r="L30" s="406">
        <f>I30-J30</f>
        <v>852.44999999999993</v>
      </c>
    </row>
    <row r="31" spans="1:12" x14ac:dyDescent="0.2">
      <c r="A31" s="306"/>
      <c r="B31" s="306"/>
      <c r="C31" s="306"/>
      <c r="D31" s="306"/>
      <c r="E31" s="306"/>
      <c r="F31" s="306"/>
      <c r="G31" s="306"/>
      <c r="H31" s="306"/>
      <c r="I31" s="306"/>
      <c r="J31" s="306"/>
    </row>
    <row r="32" spans="1:12" x14ac:dyDescent="0.2">
      <c r="A32" s="316" t="s">
        <v>1125</v>
      </c>
      <c r="B32" s="311"/>
      <c r="C32" s="311"/>
      <c r="D32" s="311"/>
      <c r="E32" s="311"/>
      <c r="F32" s="311"/>
      <c r="G32" s="311"/>
      <c r="H32" s="311"/>
      <c r="I32" s="311"/>
      <c r="J32" s="311"/>
    </row>
    <row r="33" spans="1:12" x14ac:dyDescent="0.2">
      <c r="A33" s="317" t="s">
        <v>1110</v>
      </c>
      <c r="B33" s="317" t="s">
        <v>318</v>
      </c>
      <c r="C33" s="318">
        <v>43860</v>
      </c>
      <c r="D33" s="319" t="s">
        <v>1187</v>
      </c>
      <c r="E33" s="317" t="s">
        <v>1188</v>
      </c>
      <c r="F33" s="320" t="s">
        <v>1139</v>
      </c>
      <c r="G33" s="321">
        <v>5948</v>
      </c>
      <c r="H33" s="321">
        <v>11215</v>
      </c>
      <c r="I33" s="322">
        <v>26.95</v>
      </c>
      <c r="J33" s="322"/>
    </row>
    <row r="34" spans="1:12" x14ac:dyDescent="0.2">
      <c r="A34" s="306"/>
      <c r="B34" s="306"/>
      <c r="C34" s="306"/>
      <c r="D34" s="306"/>
      <c r="E34" s="306"/>
      <c r="F34" s="306"/>
      <c r="G34" s="306"/>
      <c r="H34" s="306"/>
      <c r="I34" s="323">
        <v>26.95</v>
      </c>
      <c r="J34" s="323">
        <v>0</v>
      </c>
      <c r="L34" s="406">
        <f>I34-J34</f>
        <v>26.95</v>
      </c>
    </row>
    <row r="35" spans="1:12" x14ac:dyDescent="0.2">
      <c r="A35" s="306"/>
      <c r="B35" s="306"/>
      <c r="C35" s="306"/>
      <c r="D35" s="306"/>
      <c r="E35" s="306"/>
      <c r="F35" s="306"/>
      <c r="G35" s="306"/>
      <c r="H35" s="306"/>
      <c r="I35" s="306"/>
      <c r="J35" s="306"/>
    </row>
    <row r="36" spans="1:12" x14ac:dyDescent="0.2">
      <c r="A36" s="316" t="s">
        <v>1128</v>
      </c>
      <c r="B36" s="311"/>
      <c r="C36" s="311"/>
      <c r="D36" s="311"/>
      <c r="E36" s="311"/>
      <c r="F36" s="311"/>
      <c r="G36" s="311"/>
      <c r="H36" s="311"/>
      <c r="I36" s="311"/>
      <c r="J36" s="311"/>
    </row>
    <row r="37" spans="1:12" x14ac:dyDescent="0.2">
      <c r="A37" s="317" t="s">
        <v>1110</v>
      </c>
      <c r="B37" s="317" t="s">
        <v>318</v>
      </c>
      <c r="C37" s="318">
        <v>43770</v>
      </c>
      <c r="D37" s="319" t="s">
        <v>293</v>
      </c>
      <c r="E37" s="317" t="s">
        <v>1189</v>
      </c>
      <c r="F37" s="320" t="s">
        <v>1113</v>
      </c>
      <c r="G37" s="321">
        <v>5791</v>
      </c>
      <c r="H37" s="321"/>
      <c r="I37" s="322"/>
      <c r="J37" s="322">
        <v>261.95</v>
      </c>
    </row>
    <row r="38" spans="1:12" x14ac:dyDescent="0.2">
      <c r="A38" s="317" t="s">
        <v>1110</v>
      </c>
      <c r="B38" s="317" t="s">
        <v>318</v>
      </c>
      <c r="C38" s="318">
        <v>43791</v>
      </c>
      <c r="D38" s="319" t="s">
        <v>293</v>
      </c>
      <c r="E38" s="317" t="s">
        <v>1189</v>
      </c>
      <c r="F38" s="320" t="s">
        <v>1113</v>
      </c>
      <c r="G38" s="321">
        <v>5825</v>
      </c>
      <c r="H38" s="321"/>
      <c r="I38" s="322">
        <v>261.95</v>
      </c>
      <c r="J38" s="322"/>
    </row>
    <row r="39" spans="1:12" x14ac:dyDescent="0.2">
      <c r="A39" s="317" t="s">
        <v>1110</v>
      </c>
      <c r="B39" s="317" t="s">
        <v>318</v>
      </c>
      <c r="C39" s="318">
        <v>43799</v>
      </c>
      <c r="D39" s="319" t="s">
        <v>293</v>
      </c>
      <c r="E39" s="317" t="s">
        <v>1129</v>
      </c>
      <c r="F39" s="320" t="s">
        <v>1113</v>
      </c>
      <c r="G39" s="321">
        <v>5840</v>
      </c>
      <c r="H39" s="321"/>
      <c r="I39" s="322">
        <v>184.91</v>
      </c>
      <c r="J39" s="322"/>
    </row>
    <row r="40" spans="1:12" x14ac:dyDescent="0.2">
      <c r="A40" s="317" t="s">
        <v>1110</v>
      </c>
      <c r="B40" s="317" t="s">
        <v>318</v>
      </c>
      <c r="C40" s="318">
        <v>43800</v>
      </c>
      <c r="D40" s="319" t="s">
        <v>293</v>
      </c>
      <c r="E40" s="317" t="s">
        <v>1129</v>
      </c>
      <c r="F40" s="320" t="s">
        <v>1113</v>
      </c>
      <c r="G40" s="321">
        <v>5863</v>
      </c>
      <c r="H40" s="321"/>
      <c r="I40" s="322"/>
      <c r="J40" s="322">
        <v>184.91</v>
      </c>
    </row>
    <row r="41" spans="1:12" x14ac:dyDescent="0.2">
      <c r="A41" s="317" t="s">
        <v>1110</v>
      </c>
      <c r="B41" s="317" t="s">
        <v>318</v>
      </c>
      <c r="C41" s="318">
        <v>43819</v>
      </c>
      <c r="D41" s="319" t="s">
        <v>293</v>
      </c>
      <c r="E41" s="317" t="s">
        <v>1129</v>
      </c>
      <c r="F41" s="320" t="s">
        <v>1113</v>
      </c>
      <c r="G41" s="321">
        <v>5896</v>
      </c>
      <c r="H41" s="321"/>
      <c r="I41" s="322">
        <v>184.91</v>
      </c>
      <c r="J41" s="322"/>
    </row>
    <row r="42" spans="1:12" x14ac:dyDescent="0.2">
      <c r="A42" s="317" t="s">
        <v>1110</v>
      </c>
      <c r="B42" s="317" t="s">
        <v>318</v>
      </c>
      <c r="C42" s="318">
        <v>43830</v>
      </c>
      <c r="D42" s="319" t="s">
        <v>293</v>
      </c>
      <c r="E42" s="317" t="s">
        <v>383</v>
      </c>
      <c r="F42" s="320" t="s">
        <v>1113</v>
      </c>
      <c r="G42" s="321">
        <v>5904</v>
      </c>
      <c r="H42" s="321"/>
      <c r="I42" s="322">
        <v>122.35</v>
      </c>
      <c r="J42" s="322"/>
    </row>
    <row r="43" spans="1:12" x14ac:dyDescent="0.2">
      <c r="A43" s="317" t="s">
        <v>1110</v>
      </c>
      <c r="B43" s="317" t="s">
        <v>318</v>
      </c>
      <c r="C43" s="318">
        <v>43831</v>
      </c>
      <c r="D43" s="319" t="s">
        <v>293</v>
      </c>
      <c r="E43" s="317" t="s">
        <v>383</v>
      </c>
      <c r="F43" s="320" t="s">
        <v>1113</v>
      </c>
      <c r="G43" s="321">
        <v>5913</v>
      </c>
      <c r="H43" s="321"/>
      <c r="I43" s="322"/>
      <c r="J43" s="322">
        <v>122.35</v>
      </c>
    </row>
    <row r="44" spans="1:12" x14ac:dyDescent="0.2">
      <c r="A44" s="317" t="s">
        <v>1110</v>
      </c>
      <c r="B44" s="317" t="s">
        <v>318</v>
      </c>
      <c r="C44" s="318">
        <v>43860</v>
      </c>
      <c r="D44" s="319" t="s">
        <v>293</v>
      </c>
      <c r="E44" s="317" t="s">
        <v>383</v>
      </c>
      <c r="F44" s="320" t="s">
        <v>1113</v>
      </c>
      <c r="G44" s="321">
        <v>5930</v>
      </c>
      <c r="H44" s="321"/>
      <c r="I44" s="322">
        <v>122.35</v>
      </c>
      <c r="J44" s="322"/>
    </row>
    <row r="45" spans="1:12" x14ac:dyDescent="0.2">
      <c r="A45" s="317" t="s">
        <v>1110</v>
      </c>
      <c r="B45" s="317" t="s">
        <v>318</v>
      </c>
      <c r="C45" s="318">
        <v>43861</v>
      </c>
      <c r="D45" s="319" t="s">
        <v>293</v>
      </c>
      <c r="E45" s="317" t="s">
        <v>1129</v>
      </c>
      <c r="F45" s="320" t="s">
        <v>1113</v>
      </c>
      <c r="G45" s="321">
        <v>5953</v>
      </c>
      <c r="H45" s="321"/>
      <c r="I45" s="322">
        <v>11.7</v>
      </c>
      <c r="J45" s="322"/>
    </row>
    <row r="46" spans="1:12" x14ac:dyDescent="0.2">
      <c r="A46" s="317" t="s">
        <v>1110</v>
      </c>
      <c r="B46" s="317" t="s">
        <v>318</v>
      </c>
      <c r="C46" s="318">
        <v>43862</v>
      </c>
      <c r="D46" s="319" t="s">
        <v>293</v>
      </c>
      <c r="E46" s="317" t="s">
        <v>1129</v>
      </c>
      <c r="F46" s="320" t="s">
        <v>1113</v>
      </c>
      <c r="G46" s="321">
        <v>5955</v>
      </c>
      <c r="H46" s="321"/>
      <c r="I46" s="322"/>
      <c r="J46" s="322">
        <v>11.7</v>
      </c>
    </row>
    <row r="47" spans="1:12" x14ac:dyDescent="0.2">
      <c r="A47" s="317" t="s">
        <v>1110</v>
      </c>
      <c r="B47" s="317" t="s">
        <v>318</v>
      </c>
      <c r="C47" s="318">
        <v>43890</v>
      </c>
      <c r="D47" s="319" t="s">
        <v>293</v>
      </c>
      <c r="E47" s="317" t="s">
        <v>1129</v>
      </c>
      <c r="F47" s="320" t="s">
        <v>1113</v>
      </c>
      <c r="G47" s="321">
        <v>5975</v>
      </c>
      <c r="H47" s="321"/>
      <c r="I47" s="322">
        <v>89.4</v>
      </c>
      <c r="J47" s="322"/>
    </row>
    <row r="48" spans="1:12" x14ac:dyDescent="0.2">
      <c r="A48" s="317" t="s">
        <v>1110</v>
      </c>
      <c r="B48" s="317" t="s">
        <v>318</v>
      </c>
      <c r="C48" s="318">
        <v>43890</v>
      </c>
      <c r="D48" s="319" t="s">
        <v>293</v>
      </c>
      <c r="E48" s="317" t="s">
        <v>1129</v>
      </c>
      <c r="F48" s="320" t="s">
        <v>1113</v>
      </c>
      <c r="G48" s="321">
        <v>5986</v>
      </c>
      <c r="H48" s="321"/>
      <c r="I48" s="322">
        <v>11.7</v>
      </c>
      <c r="J48" s="322"/>
    </row>
    <row r="49" spans="1:12" x14ac:dyDescent="0.2">
      <c r="A49" s="306"/>
      <c r="B49" s="306"/>
      <c r="C49" s="306"/>
      <c r="D49" s="306"/>
      <c r="E49" s="306"/>
      <c r="F49" s="306"/>
      <c r="G49" s="306"/>
      <c r="H49" s="306"/>
      <c r="I49" s="323">
        <v>989.2700000000001</v>
      </c>
      <c r="J49" s="323">
        <v>580.91000000000008</v>
      </c>
      <c r="L49" s="406">
        <f>I49-J49</f>
        <v>408.36</v>
      </c>
    </row>
    <row r="50" spans="1:12" x14ac:dyDescent="0.2">
      <c r="A50" s="306"/>
      <c r="B50" s="306"/>
      <c r="C50" s="306"/>
      <c r="D50" s="306"/>
      <c r="E50" s="306"/>
      <c r="F50" s="306"/>
      <c r="G50" s="306"/>
      <c r="H50" s="306"/>
      <c r="I50" s="306"/>
      <c r="J50" s="306"/>
    </row>
    <row r="51" spans="1:12" x14ac:dyDescent="0.2">
      <c r="A51" s="316" t="s">
        <v>1130</v>
      </c>
      <c r="B51" s="311"/>
      <c r="C51" s="311"/>
      <c r="D51" s="311"/>
      <c r="E51" s="311"/>
      <c r="F51" s="311"/>
      <c r="G51" s="311"/>
      <c r="H51" s="311"/>
      <c r="I51" s="311"/>
      <c r="J51" s="311"/>
    </row>
    <row r="52" spans="1:12" s="194" customFormat="1" x14ac:dyDescent="0.2">
      <c r="A52" s="357" t="s">
        <v>1133</v>
      </c>
      <c r="B52" s="357" t="s">
        <v>318</v>
      </c>
      <c r="C52" s="358">
        <v>43770</v>
      </c>
      <c r="D52" s="359" t="s">
        <v>293</v>
      </c>
      <c r="E52" s="357" t="s">
        <v>1190</v>
      </c>
      <c r="F52" s="360" t="s">
        <v>1113</v>
      </c>
      <c r="G52" s="361">
        <v>5791</v>
      </c>
      <c r="H52" s="361"/>
      <c r="I52" s="362"/>
      <c r="J52" s="362">
        <v>662.86</v>
      </c>
    </row>
    <row r="53" spans="1:12" s="194" customFormat="1" x14ac:dyDescent="0.2">
      <c r="A53" s="357" t="s">
        <v>1133</v>
      </c>
      <c r="B53" s="357" t="s">
        <v>318</v>
      </c>
      <c r="C53" s="358">
        <v>43791</v>
      </c>
      <c r="D53" s="359" t="s">
        <v>293</v>
      </c>
      <c r="E53" s="357" t="s">
        <v>1190</v>
      </c>
      <c r="F53" s="360" t="s">
        <v>1113</v>
      </c>
      <c r="G53" s="361">
        <v>5825</v>
      </c>
      <c r="H53" s="361"/>
      <c r="I53" s="362">
        <v>662.86</v>
      </c>
      <c r="J53" s="362"/>
    </row>
    <row r="54" spans="1:12" s="194" customFormat="1" x14ac:dyDescent="0.2">
      <c r="A54" s="357" t="s">
        <v>1133</v>
      </c>
      <c r="B54" s="357" t="s">
        <v>318</v>
      </c>
      <c r="C54" s="358">
        <v>43799</v>
      </c>
      <c r="D54" s="359" t="s">
        <v>293</v>
      </c>
      <c r="E54" s="357" t="s">
        <v>1191</v>
      </c>
      <c r="F54" s="360" t="s">
        <v>1113</v>
      </c>
      <c r="G54" s="361">
        <v>5840</v>
      </c>
      <c r="H54" s="361"/>
      <c r="I54" s="362">
        <v>402.86</v>
      </c>
      <c r="J54" s="362"/>
    </row>
    <row r="55" spans="1:12" s="194" customFormat="1" x14ac:dyDescent="0.2">
      <c r="A55" s="357" t="s">
        <v>1133</v>
      </c>
      <c r="B55" s="357" t="s">
        <v>318</v>
      </c>
      <c r="C55" s="358">
        <v>43800</v>
      </c>
      <c r="D55" s="359" t="s">
        <v>293</v>
      </c>
      <c r="E55" s="357" t="s">
        <v>1191</v>
      </c>
      <c r="F55" s="360" t="s">
        <v>1113</v>
      </c>
      <c r="G55" s="361">
        <v>5863</v>
      </c>
      <c r="H55" s="361"/>
      <c r="I55" s="362"/>
      <c r="J55" s="362">
        <v>402.86</v>
      </c>
    </row>
    <row r="56" spans="1:12" s="194" customFormat="1" x14ac:dyDescent="0.2">
      <c r="A56" s="357" t="s">
        <v>1133</v>
      </c>
      <c r="B56" s="357" t="s">
        <v>318</v>
      </c>
      <c r="C56" s="358">
        <v>43819</v>
      </c>
      <c r="D56" s="359" t="s">
        <v>293</v>
      </c>
      <c r="E56" s="357" t="s">
        <v>1191</v>
      </c>
      <c r="F56" s="360" t="s">
        <v>1113</v>
      </c>
      <c r="G56" s="361">
        <v>5896</v>
      </c>
      <c r="H56" s="361"/>
      <c r="I56" s="362">
        <v>402.86</v>
      </c>
      <c r="J56" s="362"/>
    </row>
    <row r="57" spans="1:12" x14ac:dyDescent="0.2">
      <c r="A57" s="317" t="s">
        <v>1110</v>
      </c>
      <c r="B57" s="317" t="s">
        <v>318</v>
      </c>
      <c r="C57" s="318">
        <v>43770</v>
      </c>
      <c r="D57" s="319" t="s">
        <v>293</v>
      </c>
      <c r="E57" s="317" t="s">
        <v>1192</v>
      </c>
      <c r="F57" s="320" t="s">
        <v>1113</v>
      </c>
      <c r="G57" s="321">
        <v>5791</v>
      </c>
      <c r="H57" s="321"/>
      <c r="I57" s="322"/>
      <c r="J57" s="322">
        <v>43.48</v>
      </c>
    </row>
    <row r="58" spans="1:12" x14ac:dyDescent="0.2">
      <c r="A58" s="317" t="s">
        <v>1110</v>
      </c>
      <c r="B58" s="317" t="s">
        <v>318</v>
      </c>
      <c r="C58" s="318">
        <v>43770</v>
      </c>
      <c r="D58" s="319" t="s">
        <v>293</v>
      </c>
      <c r="E58" s="317" t="s">
        <v>1193</v>
      </c>
      <c r="F58" s="320" t="s">
        <v>1113</v>
      </c>
      <c r="G58" s="321">
        <v>5791</v>
      </c>
      <c r="H58" s="321"/>
      <c r="I58" s="322"/>
      <c r="J58" s="322">
        <v>202.1</v>
      </c>
    </row>
    <row r="59" spans="1:12" x14ac:dyDescent="0.2">
      <c r="A59" s="317" t="s">
        <v>1110</v>
      </c>
      <c r="B59" s="317" t="s">
        <v>318</v>
      </c>
      <c r="C59" s="318">
        <v>43770</v>
      </c>
      <c r="D59" s="319" t="s">
        <v>293</v>
      </c>
      <c r="E59" s="317" t="s">
        <v>1194</v>
      </c>
      <c r="F59" s="320" t="s">
        <v>1113</v>
      </c>
      <c r="G59" s="321">
        <v>5791</v>
      </c>
      <c r="H59" s="321"/>
      <c r="I59" s="322"/>
      <c r="J59" s="322">
        <v>130.43</v>
      </c>
    </row>
    <row r="60" spans="1:12" x14ac:dyDescent="0.2">
      <c r="A60" s="317" t="s">
        <v>1110</v>
      </c>
      <c r="B60" s="317" t="s">
        <v>318</v>
      </c>
      <c r="C60" s="318">
        <v>43770</v>
      </c>
      <c r="D60" s="319" t="s">
        <v>293</v>
      </c>
      <c r="E60" s="317" t="s">
        <v>1195</v>
      </c>
      <c r="F60" s="320" t="s">
        <v>1113</v>
      </c>
      <c r="G60" s="321">
        <v>5791</v>
      </c>
      <c r="H60" s="321"/>
      <c r="I60" s="322"/>
      <c r="J60" s="322">
        <v>159.05000000000001</v>
      </c>
    </row>
    <row r="61" spans="1:12" x14ac:dyDescent="0.2">
      <c r="A61" s="317" t="s">
        <v>1110</v>
      </c>
      <c r="B61" s="317" t="s">
        <v>318</v>
      </c>
      <c r="C61" s="318">
        <v>43770</v>
      </c>
      <c r="D61" s="319" t="s">
        <v>293</v>
      </c>
      <c r="E61" s="317" t="s">
        <v>1196</v>
      </c>
      <c r="F61" s="320" t="s">
        <v>1113</v>
      </c>
      <c r="G61" s="321">
        <v>5791</v>
      </c>
      <c r="H61" s="321"/>
      <c r="I61" s="322"/>
      <c r="J61" s="322">
        <v>133.31</v>
      </c>
    </row>
    <row r="62" spans="1:12" x14ac:dyDescent="0.2">
      <c r="A62" s="317" t="s">
        <v>1110</v>
      </c>
      <c r="B62" s="317" t="s">
        <v>318</v>
      </c>
      <c r="C62" s="318">
        <v>43791</v>
      </c>
      <c r="D62" s="319" t="s">
        <v>293</v>
      </c>
      <c r="E62" s="317" t="s">
        <v>1192</v>
      </c>
      <c r="F62" s="320" t="s">
        <v>1113</v>
      </c>
      <c r="G62" s="321">
        <v>5825</v>
      </c>
      <c r="H62" s="321"/>
      <c r="I62" s="322">
        <v>43.48</v>
      </c>
      <c r="J62" s="322"/>
    </row>
    <row r="63" spans="1:12" x14ac:dyDescent="0.2">
      <c r="A63" s="317" t="s">
        <v>1110</v>
      </c>
      <c r="B63" s="317" t="s">
        <v>318</v>
      </c>
      <c r="C63" s="318">
        <v>43791</v>
      </c>
      <c r="D63" s="319" t="s">
        <v>293</v>
      </c>
      <c r="E63" s="317" t="s">
        <v>1193</v>
      </c>
      <c r="F63" s="320" t="s">
        <v>1113</v>
      </c>
      <c r="G63" s="321">
        <v>5825</v>
      </c>
      <c r="H63" s="321"/>
      <c r="I63" s="322">
        <v>202.1</v>
      </c>
      <c r="J63" s="322"/>
    </row>
    <row r="64" spans="1:12" x14ac:dyDescent="0.2">
      <c r="A64" s="317" t="s">
        <v>1110</v>
      </c>
      <c r="B64" s="317" t="s">
        <v>318</v>
      </c>
      <c r="C64" s="318">
        <v>43791</v>
      </c>
      <c r="D64" s="319" t="s">
        <v>293</v>
      </c>
      <c r="E64" s="317" t="s">
        <v>1194</v>
      </c>
      <c r="F64" s="320" t="s">
        <v>1113</v>
      </c>
      <c r="G64" s="321">
        <v>5825</v>
      </c>
      <c r="H64" s="321"/>
      <c r="I64" s="322">
        <v>130.43</v>
      </c>
      <c r="J64" s="322"/>
    </row>
    <row r="65" spans="1:12" x14ac:dyDescent="0.2">
      <c r="A65" s="317" t="s">
        <v>1110</v>
      </c>
      <c r="B65" s="317" t="s">
        <v>318</v>
      </c>
      <c r="C65" s="318">
        <v>43791</v>
      </c>
      <c r="D65" s="319" t="s">
        <v>293</v>
      </c>
      <c r="E65" s="317" t="s">
        <v>1195</v>
      </c>
      <c r="F65" s="320" t="s">
        <v>1113</v>
      </c>
      <c r="G65" s="321">
        <v>5825</v>
      </c>
      <c r="H65" s="321"/>
      <c r="I65" s="322">
        <v>159.05000000000001</v>
      </c>
      <c r="J65" s="322"/>
    </row>
    <row r="66" spans="1:12" x14ac:dyDescent="0.2">
      <c r="A66" s="317" t="s">
        <v>1110</v>
      </c>
      <c r="B66" s="317" t="s">
        <v>318</v>
      </c>
      <c r="C66" s="318">
        <v>43791</v>
      </c>
      <c r="D66" s="319" t="s">
        <v>293</v>
      </c>
      <c r="E66" s="317" t="s">
        <v>1196</v>
      </c>
      <c r="F66" s="320" t="s">
        <v>1113</v>
      </c>
      <c r="G66" s="321">
        <v>5825</v>
      </c>
      <c r="H66" s="321"/>
      <c r="I66" s="322">
        <v>133.31</v>
      </c>
      <c r="J66" s="322"/>
    </row>
    <row r="67" spans="1:12" x14ac:dyDescent="0.2">
      <c r="A67" s="317" t="s">
        <v>1110</v>
      </c>
      <c r="B67" s="317" t="s">
        <v>318</v>
      </c>
      <c r="C67" s="318">
        <v>43799</v>
      </c>
      <c r="D67" s="319" t="s">
        <v>293</v>
      </c>
      <c r="E67" s="317" t="s">
        <v>1197</v>
      </c>
      <c r="F67" s="320" t="s">
        <v>1113</v>
      </c>
      <c r="G67" s="321">
        <v>5840</v>
      </c>
      <c r="H67" s="321"/>
      <c r="I67" s="322">
        <v>165.83</v>
      </c>
      <c r="J67" s="322"/>
    </row>
    <row r="68" spans="1:12" x14ac:dyDescent="0.2">
      <c r="A68" s="317" t="s">
        <v>1110</v>
      </c>
      <c r="B68" s="317" t="s">
        <v>318</v>
      </c>
      <c r="C68" s="318">
        <v>43799</v>
      </c>
      <c r="D68" s="319" t="s">
        <v>293</v>
      </c>
      <c r="E68" s="317" t="s">
        <v>1198</v>
      </c>
      <c r="F68" s="320" t="s">
        <v>1113</v>
      </c>
      <c r="G68" s="321">
        <v>5840</v>
      </c>
      <c r="H68" s="321"/>
      <c r="I68" s="322">
        <v>181.74</v>
      </c>
      <c r="J68" s="322"/>
    </row>
    <row r="69" spans="1:12" x14ac:dyDescent="0.2">
      <c r="A69" s="317" t="s">
        <v>1110</v>
      </c>
      <c r="B69" s="317" t="s">
        <v>318</v>
      </c>
      <c r="C69" s="318">
        <v>43800</v>
      </c>
      <c r="D69" s="319" t="s">
        <v>293</v>
      </c>
      <c r="E69" s="317" t="s">
        <v>1197</v>
      </c>
      <c r="F69" s="320" t="s">
        <v>1113</v>
      </c>
      <c r="G69" s="321">
        <v>5863</v>
      </c>
      <c r="H69" s="321"/>
      <c r="I69" s="322"/>
      <c r="J69" s="322">
        <v>165.83</v>
      </c>
    </row>
    <row r="70" spans="1:12" x14ac:dyDescent="0.2">
      <c r="A70" s="317" t="s">
        <v>1110</v>
      </c>
      <c r="B70" s="317" t="s">
        <v>318</v>
      </c>
      <c r="C70" s="318">
        <v>43800</v>
      </c>
      <c r="D70" s="319" t="s">
        <v>293</v>
      </c>
      <c r="E70" s="317" t="s">
        <v>1198</v>
      </c>
      <c r="F70" s="320" t="s">
        <v>1113</v>
      </c>
      <c r="G70" s="321">
        <v>5863</v>
      </c>
      <c r="H70" s="321"/>
      <c r="I70" s="322"/>
      <c r="J70" s="322">
        <v>181.74</v>
      </c>
    </row>
    <row r="71" spans="1:12" x14ac:dyDescent="0.2">
      <c r="A71" s="317" t="s">
        <v>1110</v>
      </c>
      <c r="B71" s="317" t="s">
        <v>318</v>
      </c>
      <c r="C71" s="318">
        <v>43819</v>
      </c>
      <c r="D71" s="319" t="s">
        <v>293</v>
      </c>
      <c r="E71" s="317" t="s">
        <v>1197</v>
      </c>
      <c r="F71" s="320" t="s">
        <v>1113</v>
      </c>
      <c r="G71" s="321">
        <v>5896</v>
      </c>
      <c r="H71" s="321"/>
      <c r="I71" s="322">
        <v>165.83</v>
      </c>
      <c r="J71" s="322"/>
    </row>
    <row r="72" spans="1:12" x14ac:dyDescent="0.2">
      <c r="A72" s="317" t="s">
        <v>1110</v>
      </c>
      <c r="B72" s="317" t="s">
        <v>318</v>
      </c>
      <c r="C72" s="318">
        <v>43819</v>
      </c>
      <c r="D72" s="319" t="s">
        <v>293</v>
      </c>
      <c r="E72" s="317" t="s">
        <v>1198</v>
      </c>
      <c r="F72" s="320" t="s">
        <v>1113</v>
      </c>
      <c r="G72" s="321">
        <v>5896</v>
      </c>
      <c r="H72" s="321"/>
      <c r="I72" s="322">
        <v>181.74</v>
      </c>
      <c r="J72" s="322"/>
    </row>
    <row r="73" spans="1:12" x14ac:dyDescent="0.2">
      <c r="A73" s="317" t="s">
        <v>1110</v>
      </c>
      <c r="B73" s="317" t="s">
        <v>318</v>
      </c>
      <c r="C73" s="318">
        <v>43861</v>
      </c>
      <c r="D73" s="319" t="s">
        <v>293</v>
      </c>
      <c r="E73" s="317" t="s">
        <v>1199</v>
      </c>
      <c r="F73" s="320" t="s">
        <v>1113</v>
      </c>
      <c r="G73" s="321">
        <v>5953</v>
      </c>
      <c r="H73" s="321"/>
      <c r="I73" s="322">
        <v>170.18</v>
      </c>
      <c r="J73" s="322"/>
    </row>
    <row r="74" spans="1:12" x14ac:dyDescent="0.2">
      <c r="A74" s="317" t="s">
        <v>1110</v>
      </c>
      <c r="B74" s="317" t="s">
        <v>318</v>
      </c>
      <c r="C74" s="318">
        <v>43862</v>
      </c>
      <c r="D74" s="319" t="s">
        <v>293</v>
      </c>
      <c r="E74" s="317" t="s">
        <v>1199</v>
      </c>
      <c r="F74" s="320" t="s">
        <v>1113</v>
      </c>
      <c r="G74" s="321">
        <v>5955</v>
      </c>
      <c r="H74" s="321"/>
      <c r="I74" s="322"/>
      <c r="J74" s="322">
        <v>170.18</v>
      </c>
    </row>
    <row r="75" spans="1:12" x14ac:dyDescent="0.2">
      <c r="A75" s="317" t="s">
        <v>1110</v>
      </c>
      <c r="B75" s="317" t="s">
        <v>318</v>
      </c>
      <c r="C75" s="318">
        <v>43890</v>
      </c>
      <c r="D75" s="319" t="s">
        <v>293</v>
      </c>
      <c r="E75" s="317" t="s">
        <v>1200</v>
      </c>
      <c r="F75" s="320" t="s">
        <v>1113</v>
      </c>
      <c r="G75" s="321">
        <v>5975</v>
      </c>
      <c r="H75" s="321"/>
      <c r="I75" s="322">
        <v>231.13</v>
      </c>
      <c r="J75" s="322"/>
    </row>
    <row r="76" spans="1:12" x14ac:dyDescent="0.2">
      <c r="A76" s="317" t="s">
        <v>1110</v>
      </c>
      <c r="B76" s="317" t="s">
        <v>318</v>
      </c>
      <c r="C76" s="318">
        <v>43890</v>
      </c>
      <c r="D76" s="319" t="s">
        <v>293</v>
      </c>
      <c r="E76" s="317" t="s">
        <v>1136</v>
      </c>
      <c r="F76" s="320" t="s">
        <v>1113</v>
      </c>
      <c r="G76" s="321">
        <v>5975</v>
      </c>
      <c r="H76" s="321"/>
      <c r="I76" s="322">
        <v>309.13</v>
      </c>
      <c r="J76" s="322"/>
    </row>
    <row r="77" spans="1:12" x14ac:dyDescent="0.2">
      <c r="A77" s="317" t="s">
        <v>1110</v>
      </c>
      <c r="B77" s="317" t="s">
        <v>318</v>
      </c>
      <c r="C77" s="318">
        <v>43890</v>
      </c>
      <c r="D77" s="319" t="s">
        <v>293</v>
      </c>
      <c r="E77" s="317" t="s">
        <v>1201</v>
      </c>
      <c r="F77" s="320" t="s">
        <v>1113</v>
      </c>
      <c r="G77" s="321">
        <v>5975</v>
      </c>
      <c r="H77" s="321"/>
      <c r="I77" s="322">
        <v>121.74</v>
      </c>
      <c r="J77" s="322"/>
    </row>
    <row r="78" spans="1:12" s="194" customFormat="1" x14ac:dyDescent="0.2">
      <c r="A78" s="357" t="s">
        <v>1110</v>
      </c>
      <c r="B78" s="357" t="s">
        <v>318</v>
      </c>
      <c r="C78" s="358">
        <v>43890</v>
      </c>
      <c r="D78" s="359" t="s">
        <v>293</v>
      </c>
      <c r="E78" s="357" t="s">
        <v>1131</v>
      </c>
      <c r="F78" s="360" t="s">
        <v>1113</v>
      </c>
      <c r="G78" s="361">
        <v>5975</v>
      </c>
      <c r="H78" s="361"/>
      <c r="I78" s="362">
        <v>230.69</v>
      </c>
      <c r="J78" s="362"/>
    </row>
    <row r="79" spans="1:12" x14ac:dyDescent="0.2">
      <c r="A79" s="317" t="s">
        <v>1110</v>
      </c>
      <c r="B79" s="317" t="s">
        <v>318</v>
      </c>
      <c r="C79" s="318">
        <v>43890</v>
      </c>
      <c r="D79" s="319" t="s">
        <v>293</v>
      </c>
      <c r="E79" s="317" t="s">
        <v>1199</v>
      </c>
      <c r="F79" s="320" t="s">
        <v>1113</v>
      </c>
      <c r="G79" s="321">
        <v>5986</v>
      </c>
      <c r="H79" s="321"/>
      <c r="I79" s="322">
        <v>170.18</v>
      </c>
      <c r="J79" s="322"/>
    </row>
    <row r="80" spans="1:12" x14ac:dyDescent="0.2">
      <c r="A80" s="306"/>
      <c r="B80" s="306"/>
      <c r="C80" s="306"/>
      <c r="D80" s="306"/>
      <c r="E80" s="306"/>
      <c r="F80" s="306"/>
      <c r="G80" s="306"/>
      <c r="H80" s="306"/>
      <c r="I80" s="323">
        <v>4065.139999999999</v>
      </c>
      <c r="J80" s="323">
        <v>2251.8399999999997</v>
      </c>
      <c r="K80" s="405"/>
      <c r="L80" s="407">
        <f>I80-J80</f>
        <v>1813.2999999999993</v>
      </c>
    </row>
    <row r="81" spans="1:10" x14ac:dyDescent="0.2">
      <c r="A81" s="306"/>
      <c r="B81" s="306"/>
      <c r="C81" s="306"/>
      <c r="D81" s="306"/>
      <c r="E81" s="306"/>
      <c r="F81" s="306"/>
      <c r="G81" s="306"/>
      <c r="H81" s="306"/>
      <c r="I81" s="306"/>
      <c r="J81" s="306"/>
    </row>
    <row r="82" spans="1:10" x14ac:dyDescent="0.2">
      <c r="A82" s="316" t="s">
        <v>1132</v>
      </c>
      <c r="B82" s="311"/>
      <c r="C82" s="311"/>
      <c r="D82" s="311"/>
      <c r="E82" s="311"/>
      <c r="F82" s="311"/>
      <c r="G82" s="311"/>
      <c r="H82" s="311"/>
      <c r="I82" s="311"/>
      <c r="J82" s="311"/>
    </row>
    <row r="83" spans="1:10" s="194" customFormat="1" x14ac:dyDescent="0.2">
      <c r="A83" s="357" t="s">
        <v>1133</v>
      </c>
      <c r="B83" s="357" t="s">
        <v>318</v>
      </c>
      <c r="C83" s="358">
        <v>43799</v>
      </c>
      <c r="D83" s="359" t="s">
        <v>1115</v>
      </c>
      <c r="E83" s="357" t="s">
        <v>1181</v>
      </c>
      <c r="F83" s="360" t="s">
        <v>1113</v>
      </c>
      <c r="G83" s="361">
        <v>5853</v>
      </c>
      <c r="H83" s="361"/>
      <c r="I83" s="362">
        <v>14.09</v>
      </c>
      <c r="J83" s="362"/>
    </row>
    <row r="84" spans="1:10" s="194" customFormat="1" x14ac:dyDescent="0.2">
      <c r="A84" s="357" t="s">
        <v>1133</v>
      </c>
      <c r="B84" s="357" t="s">
        <v>318</v>
      </c>
      <c r="C84" s="358">
        <v>43830</v>
      </c>
      <c r="D84" s="359" t="s">
        <v>1115</v>
      </c>
      <c r="E84" s="357" t="s">
        <v>1202</v>
      </c>
      <c r="F84" s="360" t="s">
        <v>1113</v>
      </c>
      <c r="G84" s="361">
        <v>5901</v>
      </c>
      <c r="H84" s="361"/>
      <c r="I84" s="362">
        <v>923.18</v>
      </c>
      <c r="J84" s="362"/>
    </row>
    <row r="85" spans="1:10" s="194" customFormat="1" x14ac:dyDescent="0.2">
      <c r="A85" s="357" t="s">
        <v>1133</v>
      </c>
      <c r="B85" s="357" t="s">
        <v>318</v>
      </c>
      <c r="C85" s="358">
        <v>43831</v>
      </c>
      <c r="D85" s="359" t="s">
        <v>1115</v>
      </c>
      <c r="E85" s="357" t="s">
        <v>1202</v>
      </c>
      <c r="F85" s="360" t="s">
        <v>1113</v>
      </c>
      <c r="G85" s="361">
        <v>5908</v>
      </c>
      <c r="H85" s="361"/>
      <c r="I85" s="362"/>
      <c r="J85" s="362">
        <v>923.18</v>
      </c>
    </row>
    <row r="86" spans="1:10" s="194" customFormat="1" x14ac:dyDescent="0.2">
      <c r="A86" s="357" t="s">
        <v>1133</v>
      </c>
      <c r="B86" s="357" t="s">
        <v>1158</v>
      </c>
      <c r="C86" s="358">
        <v>43861</v>
      </c>
      <c r="D86" s="359" t="s">
        <v>1115</v>
      </c>
      <c r="E86" s="357" t="s">
        <v>1203</v>
      </c>
      <c r="F86" s="360" t="s">
        <v>1113</v>
      </c>
      <c r="G86" s="361">
        <v>5938</v>
      </c>
      <c r="H86" s="361"/>
      <c r="I86" s="362">
        <v>15.04</v>
      </c>
      <c r="J86" s="362"/>
    </row>
    <row r="87" spans="1:10" s="194" customFormat="1" x14ac:dyDescent="0.2">
      <c r="A87" s="357" t="s">
        <v>1133</v>
      </c>
      <c r="B87" s="357" t="s">
        <v>1158</v>
      </c>
      <c r="C87" s="358">
        <v>43861</v>
      </c>
      <c r="D87" s="359" t="s">
        <v>1115</v>
      </c>
      <c r="E87" s="357" t="s">
        <v>1204</v>
      </c>
      <c r="F87" s="360" t="s">
        <v>1113</v>
      </c>
      <c r="G87" s="361">
        <v>5938</v>
      </c>
      <c r="H87" s="361"/>
      <c r="I87" s="362">
        <v>20.87</v>
      </c>
      <c r="J87" s="362"/>
    </row>
    <row r="88" spans="1:10" s="194" customFormat="1" x14ac:dyDescent="0.2">
      <c r="A88" s="357" t="s">
        <v>1133</v>
      </c>
      <c r="B88" s="357" t="s">
        <v>1158</v>
      </c>
      <c r="C88" s="358">
        <v>43861</v>
      </c>
      <c r="D88" s="359" t="s">
        <v>1115</v>
      </c>
      <c r="E88" s="357" t="s">
        <v>1205</v>
      </c>
      <c r="F88" s="360" t="s">
        <v>1113</v>
      </c>
      <c r="G88" s="361">
        <v>5938</v>
      </c>
      <c r="H88" s="361"/>
      <c r="I88" s="362">
        <v>16.96</v>
      </c>
      <c r="J88" s="362"/>
    </row>
    <row r="89" spans="1:10" s="194" customFormat="1" x14ac:dyDescent="0.2">
      <c r="A89" s="357" t="s">
        <v>1133</v>
      </c>
      <c r="B89" s="357" t="s">
        <v>1158</v>
      </c>
      <c r="C89" s="358">
        <v>43861</v>
      </c>
      <c r="D89" s="359" t="s">
        <v>1115</v>
      </c>
      <c r="E89" s="357" t="s">
        <v>1206</v>
      </c>
      <c r="F89" s="360" t="s">
        <v>1113</v>
      </c>
      <c r="G89" s="361">
        <v>5938</v>
      </c>
      <c r="H89" s="361"/>
      <c r="I89" s="362">
        <v>20.82</v>
      </c>
      <c r="J89" s="362"/>
    </row>
    <row r="90" spans="1:10" s="194" customFormat="1" x14ac:dyDescent="0.2">
      <c r="A90" s="357" t="s">
        <v>1133</v>
      </c>
      <c r="B90" s="357" t="s">
        <v>1158</v>
      </c>
      <c r="C90" s="358">
        <v>43861</v>
      </c>
      <c r="D90" s="359" t="s">
        <v>1115</v>
      </c>
      <c r="E90" s="357" t="s">
        <v>1207</v>
      </c>
      <c r="F90" s="360" t="s">
        <v>1113</v>
      </c>
      <c r="G90" s="361">
        <v>5938</v>
      </c>
      <c r="H90" s="361"/>
      <c r="I90" s="362">
        <v>729.08</v>
      </c>
      <c r="J90" s="362"/>
    </row>
    <row r="91" spans="1:10" x14ac:dyDescent="0.2">
      <c r="A91" s="317" t="s">
        <v>1110</v>
      </c>
      <c r="B91" s="317" t="s">
        <v>318</v>
      </c>
      <c r="C91" s="318">
        <v>43770</v>
      </c>
      <c r="D91" s="319" t="s">
        <v>293</v>
      </c>
      <c r="E91" s="317" t="s">
        <v>1208</v>
      </c>
      <c r="F91" s="320" t="s">
        <v>1113</v>
      </c>
      <c r="G91" s="321">
        <v>5791</v>
      </c>
      <c r="H91" s="321"/>
      <c r="I91" s="322"/>
      <c r="J91" s="322">
        <v>743.3</v>
      </c>
    </row>
    <row r="92" spans="1:10" x14ac:dyDescent="0.2">
      <c r="A92" s="317" t="s">
        <v>1110</v>
      </c>
      <c r="B92" s="317" t="s">
        <v>318</v>
      </c>
      <c r="C92" s="318">
        <v>43770</v>
      </c>
      <c r="D92" s="319" t="s">
        <v>293</v>
      </c>
      <c r="E92" s="317" t="s">
        <v>1209</v>
      </c>
      <c r="F92" s="320" t="s">
        <v>1113</v>
      </c>
      <c r="G92" s="321">
        <v>5791</v>
      </c>
      <c r="H92" s="321"/>
      <c r="I92" s="322"/>
      <c r="J92" s="322">
        <v>811.88</v>
      </c>
    </row>
    <row r="93" spans="1:10" x14ac:dyDescent="0.2">
      <c r="A93" s="317" t="s">
        <v>1110</v>
      </c>
      <c r="B93" s="317" t="s">
        <v>318</v>
      </c>
      <c r="C93" s="318">
        <v>43770</v>
      </c>
      <c r="D93" s="319" t="s">
        <v>293</v>
      </c>
      <c r="E93" s="317" t="s">
        <v>1210</v>
      </c>
      <c r="F93" s="320" t="s">
        <v>1113</v>
      </c>
      <c r="G93" s="321">
        <v>5791</v>
      </c>
      <c r="H93" s="321"/>
      <c r="I93" s="322"/>
      <c r="J93" s="322">
        <v>823.74</v>
      </c>
    </row>
    <row r="94" spans="1:10" x14ac:dyDescent="0.2">
      <c r="A94" s="317" t="s">
        <v>1110</v>
      </c>
      <c r="B94" s="317" t="s">
        <v>318</v>
      </c>
      <c r="C94" s="318">
        <v>43770</v>
      </c>
      <c r="D94" s="319" t="s">
        <v>293</v>
      </c>
      <c r="E94" s="317" t="s">
        <v>1211</v>
      </c>
      <c r="F94" s="320" t="s">
        <v>1113</v>
      </c>
      <c r="G94" s="321">
        <v>5791</v>
      </c>
      <c r="H94" s="321"/>
      <c r="I94" s="322"/>
      <c r="J94" s="322">
        <v>1130.4100000000001</v>
      </c>
    </row>
    <row r="95" spans="1:10" x14ac:dyDescent="0.2">
      <c r="A95" s="317" t="s">
        <v>1110</v>
      </c>
      <c r="B95" s="317" t="s">
        <v>318</v>
      </c>
      <c r="C95" s="318">
        <v>43770</v>
      </c>
      <c r="D95" s="319" t="s">
        <v>1115</v>
      </c>
      <c r="E95" s="317" t="s">
        <v>1180</v>
      </c>
      <c r="F95" s="320" t="s">
        <v>1113</v>
      </c>
      <c r="G95" s="321">
        <v>5808</v>
      </c>
      <c r="H95" s="321"/>
      <c r="I95" s="322"/>
      <c r="J95" s="322">
        <v>45</v>
      </c>
    </row>
    <row r="96" spans="1:10" x14ac:dyDescent="0.2">
      <c r="A96" s="317" t="s">
        <v>1110</v>
      </c>
      <c r="B96" s="317" t="s">
        <v>318</v>
      </c>
      <c r="C96" s="318">
        <v>43791</v>
      </c>
      <c r="D96" s="319" t="s">
        <v>293</v>
      </c>
      <c r="E96" s="317" t="s">
        <v>1208</v>
      </c>
      <c r="F96" s="320" t="s">
        <v>1113</v>
      </c>
      <c r="G96" s="321">
        <v>5825</v>
      </c>
      <c r="H96" s="321"/>
      <c r="I96" s="322">
        <v>743.3</v>
      </c>
      <c r="J96" s="322"/>
    </row>
    <row r="97" spans="1:12" x14ac:dyDescent="0.2">
      <c r="A97" s="317" t="s">
        <v>1110</v>
      </c>
      <c r="B97" s="317" t="s">
        <v>318</v>
      </c>
      <c r="C97" s="318">
        <v>43791</v>
      </c>
      <c r="D97" s="319" t="s">
        <v>293</v>
      </c>
      <c r="E97" s="317" t="s">
        <v>1209</v>
      </c>
      <c r="F97" s="320" t="s">
        <v>1113</v>
      </c>
      <c r="G97" s="321">
        <v>5825</v>
      </c>
      <c r="H97" s="321"/>
      <c r="I97" s="322">
        <v>811.88</v>
      </c>
      <c r="J97" s="322"/>
    </row>
    <row r="98" spans="1:12" x14ac:dyDescent="0.2">
      <c r="A98" s="317" t="s">
        <v>1110</v>
      </c>
      <c r="B98" s="317" t="s">
        <v>318</v>
      </c>
      <c r="C98" s="318">
        <v>43791</v>
      </c>
      <c r="D98" s="319" t="s">
        <v>293</v>
      </c>
      <c r="E98" s="317" t="s">
        <v>1210</v>
      </c>
      <c r="F98" s="320" t="s">
        <v>1113</v>
      </c>
      <c r="G98" s="321">
        <v>5825</v>
      </c>
      <c r="H98" s="321"/>
      <c r="I98" s="322">
        <v>823.74</v>
      </c>
      <c r="J98" s="322"/>
    </row>
    <row r="99" spans="1:12" x14ac:dyDescent="0.2">
      <c r="A99" s="317" t="s">
        <v>1110</v>
      </c>
      <c r="B99" s="317" t="s">
        <v>318</v>
      </c>
      <c r="C99" s="318">
        <v>43791</v>
      </c>
      <c r="D99" s="319" t="s">
        <v>293</v>
      </c>
      <c r="E99" s="317" t="s">
        <v>1211</v>
      </c>
      <c r="F99" s="320" t="s">
        <v>1113</v>
      </c>
      <c r="G99" s="321">
        <v>5825</v>
      </c>
      <c r="H99" s="321"/>
      <c r="I99" s="322">
        <v>1130.4100000000001</v>
      </c>
      <c r="J99" s="322"/>
    </row>
    <row r="100" spans="1:12" x14ac:dyDescent="0.2">
      <c r="A100" s="317" t="s">
        <v>1110</v>
      </c>
      <c r="B100" s="317" t="s">
        <v>318</v>
      </c>
      <c r="C100" s="318">
        <v>43799</v>
      </c>
      <c r="D100" s="319" t="s">
        <v>293</v>
      </c>
      <c r="E100" s="317" t="s">
        <v>1192</v>
      </c>
      <c r="F100" s="320" t="s">
        <v>1113</v>
      </c>
      <c r="G100" s="321">
        <v>5840</v>
      </c>
      <c r="H100" s="321"/>
      <c r="I100" s="322">
        <v>1044.52</v>
      </c>
      <c r="J100" s="322"/>
    </row>
    <row r="101" spans="1:12" x14ac:dyDescent="0.2">
      <c r="A101" s="317" t="s">
        <v>1110</v>
      </c>
      <c r="B101" s="317" t="s">
        <v>318</v>
      </c>
      <c r="C101" s="318">
        <v>43800</v>
      </c>
      <c r="D101" s="319" t="s">
        <v>293</v>
      </c>
      <c r="E101" s="317" t="s">
        <v>1192</v>
      </c>
      <c r="F101" s="320" t="s">
        <v>1113</v>
      </c>
      <c r="G101" s="321">
        <v>5863</v>
      </c>
      <c r="H101" s="321"/>
      <c r="I101" s="322"/>
      <c r="J101" s="322">
        <v>1044.52</v>
      </c>
    </row>
    <row r="102" spans="1:12" x14ac:dyDescent="0.2">
      <c r="A102" s="317" t="s">
        <v>1110</v>
      </c>
      <c r="B102" s="317" t="s">
        <v>318</v>
      </c>
      <c r="C102" s="318">
        <v>43811</v>
      </c>
      <c r="D102" s="319" t="s">
        <v>1174</v>
      </c>
      <c r="E102" s="317" t="s">
        <v>1212</v>
      </c>
      <c r="F102" s="320" t="s">
        <v>1113</v>
      </c>
      <c r="G102" s="321">
        <v>5867</v>
      </c>
      <c r="H102" s="321"/>
      <c r="I102" s="322">
        <v>10.43</v>
      </c>
      <c r="J102" s="322"/>
    </row>
    <row r="103" spans="1:12" x14ac:dyDescent="0.2">
      <c r="A103" s="317" t="s">
        <v>1110</v>
      </c>
      <c r="B103" s="317" t="s">
        <v>318</v>
      </c>
      <c r="C103" s="318">
        <v>43811</v>
      </c>
      <c r="D103" s="319" t="s">
        <v>1174</v>
      </c>
      <c r="E103" s="317" t="s">
        <v>1213</v>
      </c>
      <c r="F103" s="320" t="s">
        <v>1113</v>
      </c>
      <c r="G103" s="321">
        <v>5867</v>
      </c>
      <c r="H103" s="321"/>
      <c r="I103" s="322">
        <v>7.83</v>
      </c>
      <c r="J103" s="322"/>
    </row>
    <row r="104" spans="1:12" x14ac:dyDescent="0.2">
      <c r="A104" s="317" t="s">
        <v>1110</v>
      </c>
      <c r="B104" s="317" t="s">
        <v>318</v>
      </c>
      <c r="C104" s="318">
        <v>43819</v>
      </c>
      <c r="D104" s="319" t="s">
        <v>293</v>
      </c>
      <c r="E104" s="317" t="s">
        <v>1192</v>
      </c>
      <c r="F104" s="320" t="s">
        <v>1113</v>
      </c>
      <c r="G104" s="321">
        <v>5896</v>
      </c>
      <c r="H104" s="321"/>
      <c r="I104" s="322">
        <v>1044.52</v>
      </c>
      <c r="J104" s="322"/>
    </row>
    <row r="105" spans="1:12" x14ac:dyDescent="0.2">
      <c r="A105" s="317" t="s">
        <v>1110</v>
      </c>
      <c r="B105" s="317" t="s">
        <v>318</v>
      </c>
      <c r="C105" s="318">
        <v>43830</v>
      </c>
      <c r="D105" s="319" t="s">
        <v>293</v>
      </c>
      <c r="E105" s="317" t="s">
        <v>1198</v>
      </c>
      <c r="F105" s="320" t="s">
        <v>1113</v>
      </c>
      <c r="G105" s="321">
        <v>5904</v>
      </c>
      <c r="H105" s="321"/>
      <c r="I105" s="322">
        <v>810.43</v>
      </c>
      <c r="J105" s="322"/>
    </row>
    <row r="106" spans="1:12" x14ac:dyDescent="0.2">
      <c r="A106" s="317" t="s">
        <v>1110</v>
      </c>
      <c r="B106" s="317" t="s">
        <v>318</v>
      </c>
      <c r="C106" s="318">
        <v>43831</v>
      </c>
      <c r="D106" s="319" t="s">
        <v>293</v>
      </c>
      <c r="E106" s="317" t="s">
        <v>1198</v>
      </c>
      <c r="F106" s="320" t="s">
        <v>1113</v>
      </c>
      <c r="G106" s="321">
        <v>5913</v>
      </c>
      <c r="H106" s="321"/>
      <c r="I106" s="322"/>
      <c r="J106" s="322">
        <v>810.43</v>
      </c>
    </row>
    <row r="107" spans="1:12" x14ac:dyDescent="0.2">
      <c r="A107" s="317" t="s">
        <v>1110</v>
      </c>
      <c r="B107" s="317" t="s">
        <v>318</v>
      </c>
      <c r="C107" s="318">
        <v>43860</v>
      </c>
      <c r="D107" s="319" t="s">
        <v>293</v>
      </c>
      <c r="E107" s="317" t="s">
        <v>1198</v>
      </c>
      <c r="F107" s="320" t="s">
        <v>1113</v>
      </c>
      <c r="G107" s="321">
        <v>5930</v>
      </c>
      <c r="H107" s="321"/>
      <c r="I107" s="322">
        <v>810.43</v>
      </c>
      <c r="J107" s="322"/>
    </row>
    <row r="108" spans="1:12" x14ac:dyDescent="0.2">
      <c r="A108" s="317" t="s">
        <v>1110</v>
      </c>
      <c r="B108" s="317" t="s">
        <v>318</v>
      </c>
      <c r="C108" s="318">
        <v>43890</v>
      </c>
      <c r="D108" s="319" t="s">
        <v>1134</v>
      </c>
      <c r="E108" s="317" t="s">
        <v>1185</v>
      </c>
      <c r="F108" s="320" t="s">
        <v>1113</v>
      </c>
      <c r="G108" s="321">
        <v>5973</v>
      </c>
      <c r="H108" s="321"/>
      <c r="I108" s="322">
        <v>10.1</v>
      </c>
      <c r="J108" s="322"/>
    </row>
    <row r="109" spans="1:12" x14ac:dyDescent="0.2">
      <c r="A109" s="317" t="s">
        <v>1110</v>
      </c>
      <c r="B109" s="317" t="s">
        <v>318</v>
      </c>
      <c r="C109" s="318">
        <v>43890</v>
      </c>
      <c r="D109" s="319" t="s">
        <v>1134</v>
      </c>
      <c r="E109" s="317" t="s">
        <v>1185</v>
      </c>
      <c r="F109" s="320" t="s">
        <v>1113</v>
      </c>
      <c r="G109" s="321">
        <v>5973</v>
      </c>
      <c r="H109" s="321"/>
      <c r="I109" s="322">
        <v>26</v>
      </c>
      <c r="J109" s="322"/>
    </row>
    <row r="110" spans="1:12" x14ac:dyDescent="0.2">
      <c r="A110" s="317" t="s">
        <v>1110</v>
      </c>
      <c r="B110" s="317" t="s">
        <v>318</v>
      </c>
      <c r="C110" s="318">
        <v>43890</v>
      </c>
      <c r="D110" s="319" t="s">
        <v>293</v>
      </c>
      <c r="E110" s="317" t="s">
        <v>1214</v>
      </c>
      <c r="F110" s="320" t="s">
        <v>1113</v>
      </c>
      <c r="G110" s="321">
        <v>5975</v>
      </c>
      <c r="H110" s="321"/>
      <c r="I110" s="322">
        <v>186.65</v>
      </c>
      <c r="J110" s="322"/>
    </row>
    <row r="111" spans="1:12" x14ac:dyDescent="0.2">
      <c r="A111" s="317" t="s">
        <v>1110</v>
      </c>
      <c r="B111" s="317" t="s">
        <v>318</v>
      </c>
      <c r="C111" s="318">
        <v>43890</v>
      </c>
      <c r="D111" s="319" t="s">
        <v>293</v>
      </c>
      <c r="E111" s="317" t="s">
        <v>1197</v>
      </c>
      <c r="F111" s="320" t="s">
        <v>1113</v>
      </c>
      <c r="G111" s="321">
        <v>5975</v>
      </c>
      <c r="H111" s="321"/>
      <c r="I111" s="322">
        <v>139.30000000000001</v>
      </c>
      <c r="J111" s="322"/>
    </row>
    <row r="112" spans="1:12" x14ac:dyDescent="0.2">
      <c r="A112" s="306"/>
      <c r="B112" s="306"/>
      <c r="C112" s="306"/>
      <c r="D112" s="306"/>
      <c r="E112" s="306"/>
      <c r="F112" s="306"/>
      <c r="G112" s="306"/>
      <c r="H112" s="306"/>
      <c r="I112" s="323">
        <v>9339.58</v>
      </c>
      <c r="J112" s="323">
        <v>6332.4600000000009</v>
      </c>
      <c r="L112" s="406">
        <f>I112-J112</f>
        <v>3007.119999999999</v>
      </c>
    </row>
    <row r="113" spans="1:10" x14ac:dyDescent="0.2">
      <c r="A113" s="306"/>
      <c r="B113" s="306"/>
      <c r="C113" s="306"/>
      <c r="D113" s="306"/>
      <c r="E113" s="306"/>
      <c r="F113" s="306"/>
      <c r="G113" s="306"/>
      <c r="H113" s="306"/>
      <c r="I113" s="306"/>
      <c r="J113" s="306"/>
    </row>
    <row r="114" spans="1:10" x14ac:dyDescent="0.2">
      <c r="A114" s="316" t="s">
        <v>1143</v>
      </c>
      <c r="B114" s="311"/>
      <c r="C114" s="311"/>
      <c r="D114" s="311"/>
      <c r="E114" s="311"/>
      <c r="F114" s="311"/>
      <c r="G114" s="311"/>
      <c r="H114" s="311"/>
      <c r="I114" s="311"/>
      <c r="J114" s="311"/>
    </row>
    <row r="115" spans="1:10" x14ac:dyDescent="0.2">
      <c r="A115" s="317" t="s">
        <v>1133</v>
      </c>
      <c r="B115" s="317" t="s">
        <v>318</v>
      </c>
      <c r="C115" s="318">
        <v>43799</v>
      </c>
      <c r="D115" s="319" t="s">
        <v>1115</v>
      </c>
      <c r="E115" s="317" t="s">
        <v>385</v>
      </c>
      <c r="F115" s="320" t="s">
        <v>1113</v>
      </c>
      <c r="G115" s="321">
        <v>5853</v>
      </c>
      <c r="H115" s="321"/>
      <c r="I115" s="322">
        <v>26.97</v>
      </c>
      <c r="J115" s="322"/>
    </row>
    <row r="116" spans="1:10" x14ac:dyDescent="0.2">
      <c r="A116" s="317" t="s">
        <v>493</v>
      </c>
      <c r="B116" s="317" t="s">
        <v>318</v>
      </c>
      <c r="C116" s="318">
        <v>43811</v>
      </c>
      <c r="D116" s="319" t="s">
        <v>1174</v>
      </c>
      <c r="E116" s="317" t="s">
        <v>1215</v>
      </c>
      <c r="F116" s="320" t="s">
        <v>1113</v>
      </c>
      <c r="G116" s="321">
        <v>5867</v>
      </c>
      <c r="H116" s="321"/>
      <c r="I116" s="322">
        <v>16</v>
      </c>
      <c r="J116" s="322"/>
    </row>
    <row r="117" spans="1:10" x14ac:dyDescent="0.2">
      <c r="A117" s="317" t="s">
        <v>493</v>
      </c>
      <c r="B117" s="317" t="s">
        <v>318</v>
      </c>
      <c r="C117" s="318">
        <v>43811</v>
      </c>
      <c r="D117" s="319" t="s">
        <v>1174</v>
      </c>
      <c r="E117" s="317" t="s">
        <v>1216</v>
      </c>
      <c r="F117" s="320" t="s">
        <v>1113</v>
      </c>
      <c r="G117" s="321">
        <v>5867</v>
      </c>
      <c r="H117" s="321"/>
      <c r="I117" s="322">
        <v>52.1</v>
      </c>
      <c r="J117" s="322"/>
    </row>
    <row r="118" spans="1:10" x14ac:dyDescent="0.2">
      <c r="A118" s="317" t="s">
        <v>1110</v>
      </c>
      <c r="B118" s="317" t="s">
        <v>318</v>
      </c>
      <c r="C118" s="318">
        <v>43780</v>
      </c>
      <c r="D118" s="319" t="s">
        <v>1217</v>
      </c>
      <c r="E118" s="317" t="s">
        <v>1218</v>
      </c>
      <c r="F118" s="320" t="s">
        <v>1119</v>
      </c>
      <c r="G118" s="321">
        <v>5824</v>
      </c>
      <c r="H118" s="321">
        <v>47402</v>
      </c>
      <c r="I118" s="322">
        <v>17.13</v>
      </c>
      <c r="J118" s="322"/>
    </row>
    <row r="119" spans="1:10" x14ac:dyDescent="0.2">
      <c r="A119" s="317" t="s">
        <v>1110</v>
      </c>
      <c r="B119" s="317" t="s">
        <v>318</v>
      </c>
      <c r="C119" s="318">
        <v>43799</v>
      </c>
      <c r="D119" s="319" t="s">
        <v>1115</v>
      </c>
      <c r="E119" s="317" t="s">
        <v>385</v>
      </c>
      <c r="F119" s="320" t="s">
        <v>1113</v>
      </c>
      <c r="G119" s="321">
        <v>5853</v>
      </c>
      <c r="H119" s="321"/>
      <c r="I119" s="322"/>
      <c r="J119" s="322">
        <v>26.97</v>
      </c>
    </row>
    <row r="120" spans="1:10" x14ac:dyDescent="0.2">
      <c r="A120" s="317" t="s">
        <v>1110</v>
      </c>
      <c r="B120" s="317" t="s">
        <v>318</v>
      </c>
      <c r="C120" s="318">
        <v>43811</v>
      </c>
      <c r="D120" s="319" t="s">
        <v>1174</v>
      </c>
      <c r="E120" s="317" t="s">
        <v>1219</v>
      </c>
      <c r="F120" s="320" t="s">
        <v>1113</v>
      </c>
      <c r="G120" s="321">
        <v>5867</v>
      </c>
      <c r="H120" s="321"/>
      <c r="I120" s="322">
        <v>50.43</v>
      </c>
      <c r="J120" s="322"/>
    </row>
    <row r="121" spans="1:10" x14ac:dyDescent="0.2">
      <c r="A121" s="317" t="s">
        <v>1110</v>
      </c>
      <c r="B121" s="317" t="s">
        <v>318</v>
      </c>
      <c r="C121" s="318">
        <v>43811</v>
      </c>
      <c r="D121" s="319" t="s">
        <v>1174</v>
      </c>
      <c r="E121" s="317" t="s">
        <v>1220</v>
      </c>
      <c r="F121" s="320" t="s">
        <v>1113</v>
      </c>
      <c r="G121" s="321">
        <v>5867</v>
      </c>
      <c r="H121" s="321"/>
      <c r="I121" s="322">
        <v>33.22</v>
      </c>
      <c r="J121" s="322"/>
    </row>
    <row r="122" spans="1:10" x14ac:dyDescent="0.2">
      <c r="A122" s="317" t="s">
        <v>1110</v>
      </c>
      <c r="B122" s="317" t="s">
        <v>318</v>
      </c>
      <c r="C122" s="318">
        <v>43811</v>
      </c>
      <c r="D122" s="319" t="s">
        <v>1174</v>
      </c>
      <c r="E122" s="317" t="s">
        <v>1220</v>
      </c>
      <c r="F122" s="320" t="s">
        <v>1113</v>
      </c>
      <c r="G122" s="321">
        <v>5867</v>
      </c>
      <c r="H122" s="321"/>
      <c r="I122" s="322">
        <v>53.22</v>
      </c>
      <c r="J122" s="322"/>
    </row>
    <row r="123" spans="1:10" x14ac:dyDescent="0.2">
      <c r="A123" s="317" t="s">
        <v>1110</v>
      </c>
      <c r="B123" s="317" t="s">
        <v>318</v>
      </c>
      <c r="C123" s="318">
        <v>43830</v>
      </c>
      <c r="D123" s="319" t="s">
        <v>1115</v>
      </c>
      <c r="E123" s="317" t="s">
        <v>1202</v>
      </c>
      <c r="F123" s="320" t="s">
        <v>1113</v>
      </c>
      <c r="G123" s="321">
        <v>5901</v>
      </c>
      <c r="H123" s="321"/>
      <c r="I123" s="322">
        <v>25.75</v>
      </c>
      <c r="J123" s="322"/>
    </row>
    <row r="124" spans="1:10" x14ac:dyDescent="0.2">
      <c r="A124" s="317" t="s">
        <v>1110</v>
      </c>
      <c r="B124" s="317" t="s">
        <v>318</v>
      </c>
      <c r="C124" s="318">
        <v>43830</v>
      </c>
      <c r="D124" s="319" t="s">
        <v>1221</v>
      </c>
      <c r="E124" s="317" t="s">
        <v>1222</v>
      </c>
      <c r="F124" s="320" t="s">
        <v>1113</v>
      </c>
      <c r="G124" s="321">
        <v>5910</v>
      </c>
      <c r="H124" s="321"/>
      <c r="I124" s="322">
        <v>43.62</v>
      </c>
      <c r="J124" s="322"/>
    </row>
    <row r="125" spans="1:10" x14ac:dyDescent="0.2">
      <c r="A125" s="317" t="s">
        <v>1110</v>
      </c>
      <c r="B125" s="317" t="s">
        <v>318</v>
      </c>
      <c r="C125" s="318">
        <v>43830</v>
      </c>
      <c r="D125" s="319" t="s">
        <v>1221</v>
      </c>
      <c r="E125" s="317" t="s">
        <v>1223</v>
      </c>
      <c r="F125" s="320" t="s">
        <v>1113</v>
      </c>
      <c r="G125" s="321">
        <v>5910</v>
      </c>
      <c r="H125" s="321"/>
      <c r="I125" s="322">
        <v>9.57</v>
      </c>
      <c r="J125" s="322"/>
    </row>
    <row r="126" spans="1:10" x14ac:dyDescent="0.2">
      <c r="A126" s="317" t="s">
        <v>1110</v>
      </c>
      <c r="B126" s="317" t="s">
        <v>318</v>
      </c>
      <c r="C126" s="318">
        <v>43831</v>
      </c>
      <c r="D126" s="319" t="s">
        <v>1115</v>
      </c>
      <c r="E126" s="317" t="s">
        <v>1202</v>
      </c>
      <c r="F126" s="320" t="s">
        <v>1113</v>
      </c>
      <c r="G126" s="321">
        <v>5908</v>
      </c>
      <c r="H126" s="321"/>
      <c r="I126" s="322"/>
      <c r="J126" s="322">
        <v>25.75</v>
      </c>
    </row>
    <row r="127" spans="1:10" x14ac:dyDescent="0.2">
      <c r="A127" s="317" t="s">
        <v>1110</v>
      </c>
      <c r="B127" s="317" t="s">
        <v>318</v>
      </c>
      <c r="C127" s="318">
        <v>43831</v>
      </c>
      <c r="D127" s="319" t="s">
        <v>1221</v>
      </c>
      <c r="E127" s="317" t="s">
        <v>1222</v>
      </c>
      <c r="F127" s="320" t="s">
        <v>1113</v>
      </c>
      <c r="G127" s="321">
        <v>5912</v>
      </c>
      <c r="H127" s="321"/>
      <c r="I127" s="322"/>
      <c r="J127" s="322">
        <v>43.62</v>
      </c>
    </row>
    <row r="128" spans="1:10" x14ac:dyDescent="0.2">
      <c r="A128" s="317" t="s">
        <v>1110</v>
      </c>
      <c r="B128" s="317" t="s">
        <v>318</v>
      </c>
      <c r="C128" s="318">
        <v>43831</v>
      </c>
      <c r="D128" s="319" t="s">
        <v>1221</v>
      </c>
      <c r="E128" s="317" t="s">
        <v>1223</v>
      </c>
      <c r="F128" s="320" t="s">
        <v>1113</v>
      </c>
      <c r="G128" s="321">
        <v>5912</v>
      </c>
      <c r="H128" s="321"/>
      <c r="I128" s="322"/>
      <c r="J128" s="322">
        <v>9.57</v>
      </c>
    </row>
    <row r="129" spans="1:12" s="194" customFormat="1" x14ac:dyDescent="0.2">
      <c r="A129" s="357" t="s">
        <v>1110</v>
      </c>
      <c r="B129" s="357" t="s">
        <v>318</v>
      </c>
      <c r="C129" s="358">
        <v>43860</v>
      </c>
      <c r="D129" s="359" t="s">
        <v>293</v>
      </c>
      <c r="E129" s="357" t="s">
        <v>1222</v>
      </c>
      <c r="F129" s="360" t="s">
        <v>1113</v>
      </c>
      <c r="G129" s="361">
        <v>5929</v>
      </c>
      <c r="H129" s="361"/>
      <c r="I129" s="362">
        <v>43.62</v>
      </c>
      <c r="J129" s="362"/>
    </row>
    <row r="130" spans="1:12" x14ac:dyDescent="0.2">
      <c r="A130" s="317" t="s">
        <v>1110</v>
      </c>
      <c r="B130" s="317" t="s">
        <v>318</v>
      </c>
      <c r="C130" s="318">
        <v>43860</v>
      </c>
      <c r="D130" s="319" t="s">
        <v>293</v>
      </c>
      <c r="E130" s="317" t="s">
        <v>1223</v>
      </c>
      <c r="F130" s="320" t="s">
        <v>1113</v>
      </c>
      <c r="G130" s="321">
        <v>5929</v>
      </c>
      <c r="H130" s="321"/>
      <c r="I130" s="322">
        <v>9.57</v>
      </c>
      <c r="J130" s="322"/>
    </row>
    <row r="131" spans="1:12" x14ac:dyDescent="0.2">
      <c r="A131" s="317" t="s">
        <v>1110</v>
      </c>
      <c r="B131" s="317" t="s">
        <v>318</v>
      </c>
      <c r="C131" s="318">
        <v>43860</v>
      </c>
      <c r="D131" s="319" t="s">
        <v>1187</v>
      </c>
      <c r="E131" s="317" t="s">
        <v>1224</v>
      </c>
      <c r="F131" s="320" t="s">
        <v>1139</v>
      </c>
      <c r="G131" s="321">
        <v>5948</v>
      </c>
      <c r="H131" s="321">
        <v>11215</v>
      </c>
      <c r="I131" s="322"/>
      <c r="J131" s="322">
        <v>22.43</v>
      </c>
    </row>
    <row r="132" spans="1:12" x14ac:dyDescent="0.2">
      <c r="A132" s="317" t="s">
        <v>1110</v>
      </c>
      <c r="B132" s="317" t="s">
        <v>318</v>
      </c>
      <c r="C132" s="318">
        <v>43890</v>
      </c>
      <c r="D132" s="319" t="s">
        <v>1134</v>
      </c>
      <c r="E132" s="317" t="s">
        <v>1185</v>
      </c>
      <c r="F132" s="320" t="s">
        <v>1113</v>
      </c>
      <c r="G132" s="321">
        <v>5973</v>
      </c>
      <c r="H132" s="321"/>
      <c r="I132" s="322">
        <v>21.45</v>
      </c>
      <c r="J132" s="322"/>
    </row>
    <row r="133" spans="1:12" s="194" customFormat="1" x14ac:dyDescent="0.2">
      <c r="A133" s="357" t="s">
        <v>1110</v>
      </c>
      <c r="B133" s="357" t="s">
        <v>318</v>
      </c>
      <c r="C133" s="358">
        <v>43890</v>
      </c>
      <c r="D133" s="359" t="s">
        <v>1221</v>
      </c>
      <c r="E133" s="357" t="s">
        <v>1225</v>
      </c>
      <c r="F133" s="360" t="s">
        <v>1113</v>
      </c>
      <c r="G133" s="361">
        <v>5974</v>
      </c>
      <c r="H133" s="361"/>
      <c r="I133" s="362">
        <v>9.57</v>
      </c>
      <c r="J133" s="362"/>
    </row>
    <row r="134" spans="1:12" x14ac:dyDescent="0.2">
      <c r="A134" s="317" t="s">
        <v>1110</v>
      </c>
      <c r="B134" s="317" t="s">
        <v>1158</v>
      </c>
      <c r="C134" s="318">
        <v>43861</v>
      </c>
      <c r="D134" s="319" t="s">
        <v>1115</v>
      </c>
      <c r="E134" s="317" t="s">
        <v>1226</v>
      </c>
      <c r="F134" s="320" t="s">
        <v>1113</v>
      </c>
      <c r="G134" s="321">
        <v>5938</v>
      </c>
      <c r="H134" s="321"/>
      <c r="I134" s="322">
        <v>10.67</v>
      </c>
      <c r="J134" s="322"/>
    </row>
    <row r="135" spans="1:12" x14ac:dyDescent="0.2">
      <c r="A135" s="317" t="s">
        <v>1110</v>
      </c>
      <c r="B135" s="317" t="s">
        <v>1158</v>
      </c>
      <c r="C135" s="318">
        <v>43861</v>
      </c>
      <c r="D135" s="319" t="s">
        <v>1115</v>
      </c>
      <c r="E135" s="317" t="s">
        <v>1227</v>
      </c>
      <c r="F135" s="320" t="s">
        <v>1113</v>
      </c>
      <c r="G135" s="321">
        <v>5938</v>
      </c>
      <c r="H135" s="321"/>
      <c r="I135" s="322">
        <v>11.87</v>
      </c>
      <c r="J135" s="322"/>
    </row>
    <row r="136" spans="1:12" x14ac:dyDescent="0.2">
      <c r="A136" s="317" t="s">
        <v>1110</v>
      </c>
      <c r="B136" s="317" t="s">
        <v>1158</v>
      </c>
      <c r="C136" s="318">
        <v>43861</v>
      </c>
      <c r="D136" s="319" t="s">
        <v>1115</v>
      </c>
      <c r="E136" s="317" t="s">
        <v>1228</v>
      </c>
      <c r="F136" s="320" t="s">
        <v>1113</v>
      </c>
      <c r="G136" s="321">
        <v>5938</v>
      </c>
      <c r="H136" s="321"/>
      <c r="I136" s="322">
        <v>3.21</v>
      </c>
      <c r="J136" s="322"/>
    </row>
    <row r="137" spans="1:12" x14ac:dyDescent="0.2">
      <c r="A137" s="306"/>
      <c r="B137" s="306"/>
      <c r="C137" s="306"/>
      <c r="D137" s="306"/>
      <c r="E137" s="306"/>
      <c r="F137" s="306"/>
      <c r="G137" s="306"/>
      <c r="H137" s="306"/>
      <c r="I137" s="323">
        <v>437.96999999999997</v>
      </c>
      <c r="J137" s="323">
        <v>128.34</v>
      </c>
      <c r="L137" s="406">
        <f>I137-J137</f>
        <v>309.63</v>
      </c>
    </row>
    <row r="138" spans="1:12" x14ac:dyDescent="0.2">
      <c r="A138" s="306"/>
      <c r="B138" s="306"/>
      <c r="C138" s="306"/>
      <c r="D138" s="306"/>
      <c r="E138" s="306"/>
      <c r="F138" s="306"/>
      <c r="G138" s="306"/>
      <c r="H138" s="306"/>
      <c r="I138" s="306"/>
      <c r="J138" s="306"/>
    </row>
    <row r="139" spans="1:12" x14ac:dyDescent="0.2">
      <c r="A139" s="316" t="s">
        <v>1155</v>
      </c>
      <c r="B139" s="311"/>
      <c r="C139" s="311"/>
      <c r="D139" s="311"/>
      <c r="E139" s="311"/>
      <c r="F139" s="311"/>
      <c r="G139" s="311"/>
      <c r="H139" s="311"/>
      <c r="I139" s="311"/>
      <c r="J139" s="311"/>
    </row>
    <row r="140" spans="1:12" s="194" customFormat="1" x14ac:dyDescent="0.2">
      <c r="A140" s="357" t="s">
        <v>1133</v>
      </c>
      <c r="B140" s="357" t="s">
        <v>318</v>
      </c>
      <c r="C140" s="358">
        <v>43799</v>
      </c>
      <c r="D140" s="359" t="s">
        <v>1115</v>
      </c>
      <c r="E140" s="357" t="s">
        <v>1229</v>
      </c>
      <c r="F140" s="360" t="s">
        <v>1113</v>
      </c>
      <c r="G140" s="361">
        <v>5853</v>
      </c>
      <c r="H140" s="361"/>
      <c r="I140" s="362">
        <v>44</v>
      </c>
      <c r="J140" s="362"/>
    </row>
    <row r="141" spans="1:12" s="194" customFormat="1" x14ac:dyDescent="0.2">
      <c r="A141" s="357" t="s">
        <v>1133</v>
      </c>
      <c r="B141" s="357" t="s">
        <v>318</v>
      </c>
      <c r="C141" s="358">
        <v>43830</v>
      </c>
      <c r="D141" s="359" t="s">
        <v>1115</v>
      </c>
      <c r="E141" s="357" t="s">
        <v>1202</v>
      </c>
      <c r="F141" s="360" t="s">
        <v>1113</v>
      </c>
      <c r="G141" s="361">
        <v>5901</v>
      </c>
      <c r="H141" s="361"/>
      <c r="I141" s="362">
        <v>95.7</v>
      </c>
      <c r="J141" s="362"/>
    </row>
    <row r="142" spans="1:12" s="194" customFormat="1" x14ac:dyDescent="0.2">
      <c r="A142" s="357" t="s">
        <v>1133</v>
      </c>
      <c r="B142" s="357" t="s">
        <v>318</v>
      </c>
      <c r="C142" s="358">
        <v>43831</v>
      </c>
      <c r="D142" s="359" t="s">
        <v>1115</v>
      </c>
      <c r="E142" s="357" t="s">
        <v>1202</v>
      </c>
      <c r="F142" s="360" t="s">
        <v>1113</v>
      </c>
      <c r="G142" s="361">
        <v>5908</v>
      </c>
      <c r="H142" s="361"/>
      <c r="I142" s="362"/>
      <c r="J142" s="362">
        <v>95.7</v>
      </c>
    </row>
    <row r="143" spans="1:12" s="194" customFormat="1" x14ac:dyDescent="0.2">
      <c r="A143" s="357" t="s">
        <v>1133</v>
      </c>
      <c r="B143" s="357" t="s">
        <v>1158</v>
      </c>
      <c r="C143" s="358">
        <v>43861</v>
      </c>
      <c r="D143" s="359" t="s">
        <v>1115</v>
      </c>
      <c r="E143" s="357" t="s">
        <v>1230</v>
      </c>
      <c r="F143" s="360" t="s">
        <v>1113</v>
      </c>
      <c r="G143" s="361">
        <v>5938</v>
      </c>
      <c r="H143" s="361"/>
      <c r="I143" s="362">
        <v>42.7</v>
      </c>
      <c r="J143" s="362"/>
    </row>
    <row r="144" spans="1:12" s="194" customFormat="1" x14ac:dyDescent="0.2">
      <c r="A144" s="357" t="s">
        <v>1133</v>
      </c>
      <c r="B144" s="357" t="s">
        <v>1158</v>
      </c>
      <c r="C144" s="358">
        <v>43861</v>
      </c>
      <c r="D144" s="359" t="s">
        <v>1115</v>
      </c>
      <c r="E144" s="357" t="s">
        <v>1230</v>
      </c>
      <c r="F144" s="360" t="s">
        <v>1113</v>
      </c>
      <c r="G144" s="361">
        <v>5938</v>
      </c>
      <c r="H144" s="361"/>
      <c r="I144" s="362">
        <v>24.87</v>
      </c>
      <c r="J144" s="362"/>
    </row>
    <row r="145" spans="1:12" s="194" customFormat="1" x14ac:dyDescent="0.2">
      <c r="A145" s="357" t="s">
        <v>1133</v>
      </c>
      <c r="B145" s="357" t="s">
        <v>1158</v>
      </c>
      <c r="C145" s="358">
        <v>43861</v>
      </c>
      <c r="D145" s="359" t="s">
        <v>1115</v>
      </c>
      <c r="E145" s="357" t="s">
        <v>1231</v>
      </c>
      <c r="F145" s="360" t="s">
        <v>1113</v>
      </c>
      <c r="G145" s="361">
        <v>5938</v>
      </c>
      <c r="H145" s="361"/>
      <c r="I145" s="362">
        <v>15.65</v>
      </c>
      <c r="J145" s="362"/>
    </row>
    <row r="146" spans="1:12" s="194" customFormat="1" x14ac:dyDescent="0.2">
      <c r="A146" s="357" t="s">
        <v>1232</v>
      </c>
      <c r="B146" s="357" t="s">
        <v>318</v>
      </c>
      <c r="C146" s="358">
        <v>43770</v>
      </c>
      <c r="D146" s="359" t="s">
        <v>293</v>
      </c>
      <c r="E146" s="357" t="s">
        <v>1190</v>
      </c>
      <c r="F146" s="360" t="s">
        <v>1113</v>
      </c>
      <c r="G146" s="361">
        <v>5791</v>
      </c>
      <c r="H146" s="361"/>
      <c r="I146" s="362"/>
      <c r="J146" s="362">
        <v>61.74</v>
      </c>
    </row>
    <row r="147" spans="1:12" s="194" customFormat="1" x14ac:dyDescent="0.2">
      <c r="A147" s="357" t="s">
        <v>1232</v>
      </c>
      <c r="B147" s="357" t="s">
        <v>318</v>
      </c>
      <c r="C147" s="358">
        <v>43791</v>
      </c>
      <c r="D147" s="359" t="s">
        <v>293</v>
      </c>
      <c r="E147" s="357" t="s">
        <v>1190</v>
      </c>
      <c r="F147" s="360" t="s">
        <v>1113</v>
      </c>
      <c r="G147" s="361">
        <v>5825</v>
      </c>
      <c r="H147" s="361"/>
      <c r="I147" s="362">
        <v>61.74</v>
      </c>
      <c r="J147" s="362"/>
    </row>
    <row r="148" spans="1:12" s="194" customFormat="1" x14ac:dyDescent="0.2">
      <c r="A148" s="357" t="s">
        <v>1232</v>
      </c>
      <c r="B148" s="357" t="s">
        <v>318</v>
      </c>
      <c r="C148" s="358">
        <v>43830</v>
      </c>
      <c r="D148" s="359" t="s">
        <v>293</v>
      </c>
      <c r="E148" s="357" t="s">
        <v>1191</v>
      </c>
      <c r="F148" s="360" t="s">
        <v>1113</v>
      </c>
      <c r="G148" s="361">
        <v>5904</v>
      </c>
      <c r="H148" s="361"/>
      <c r="I148" s="362">
        <v>128.47999999999999</v>
      </c>
      <c r="J148" s="362"/>
    </row>
    <row r="149" spans="1:12" s="194" customFormat="1" x14ac:dyDescent="0.2">
      <c r="A149" s="357" t="s">
        <v>1232</v>
      </c>
      <c r="B149" s="357" t="s">
        <v>318</v>
      </c>
      <c r="C149" s="358">
        <v>43831</v>
      </c>
      <c r="D149" s="359" t="s">
        <v>293</v>
      </c>
      <c r="E149" s="357" t="s">
        <v>1191</v>
      </c>
      <c r="F149" s="360" t="s">
        <v>1113</v>
      </c>
      <c r="G149" s="361">
        <v>5913</v>
      </c>
      <c r="H149" s="361"/>
      <c r="I149" s="362"/>
      <c r="J149" s="362">
        <v>128.47999999999999</v>
      </c>
    </row>
    <row r="150" spans="1:12" s="194" customFormat="1" x14ac:dyDescent="0.2">
      <c r="A150" s="357" t="s">
        <v>1232</v>
      </c>
      <c r="B150" s="357" t="s">
        <v>318</v>
      </c>
      <c r="C150" s="358">
        <v>43860</v>
      </c>
      <c r="D150" s="359" t="s">
        <v>293</v>
      </c>
      <c r="E150" s="357" t="s">
        <v>1191</v>
      </c>
      <c r="F150" s="360" t="s">
        <v>1113</v>
      </c>
      <c r="G150" s="361">
        <v>5930</v>
      </c>
      <c r="H150" s="361"/>
      <c r="I150" s="362">
        <v>128.47999999999999</v>
      </c>
      <c r="J150" s="362"/>
    </row>
    <row r="151" spans="1:12" x14ac:dyDescent="0.2">
      <c r="A151" s="317" t="s">
        <v>1110</v>
      </c>
      <c r="B151" s="317" t="s">
        <v>318</v>
      </c>
      <c r="C151" s="318">
        <v>43770</v>
      </c>
      <c r="D151" s="319" t="s">
        <v>293</v>
      </c>
      <c r="E151" s="317" t="s">
        <v>1233</v>
      </c>
      <c r="F151" s="320" t="s">
        <v>1113</v>
      </c>
      <c r="G151" s="321">
        <v>5791</v>
      </c>
      <c r="H151" s="321"/>
      <c r="I151" s="322"/>
      <c r="J151" s="322">
        <v>286.47000000000003</v>
      </c>
    </row>
    <row r="152" spans="1:12" x14ac:dyDescent="0.2">
      <c r="A152" s="317" t="s">
        <v>1110</v>
      </c>
      <c r="B152" s="317" t="s">
        <v>318</v>
      </c>
      <c r="C152" s="318">
        <v>43770</v>
      </c>
      <c r="D152" s="319" t="s">
        <v>1115</v>
      </c>
      <c r="E152" s="317" t="s">
        <v>1180</v>
      </c>
      <c r="F152" s="320" t="s">
        <v>1113</v>
      </c>
      <c r="G152" s="321">
        <v>5808</v>
      </c>
      <c r="H152" s="321"/>
      <c r="I152" s="322"/>
      <c r="J152" s="322">
        <v>50.6</v>
      </c>
      <c r="L152">
        <f>580.75-285.92</f>
        <v>294.83</v>
      </c>
    </row>
    <row r="153" spans="1:12" x14ac:dyDescent="0.2">
      <c r="A153" s="317" t="s">
        <v>1110</v>
      </c>
      <c r="B153" s="317" t="s">
        <v>318</v>
      </c>
      <c r="C153" s="318">
        <v>43770</v>
      </c>
      <c r="D153" s="319" t="s">
        <v>1134</v>
      </c>
      <c r="E153" s="317" t="s">
        <v>1180</v>
      </c>
      <c r="F153" s="320" t="s">
        <v>1113</v>
      </c>
      <c r="G153" s="321">
        <v>5808</v>
      </c>
      <c r="H153" s="321"/>
      <c r="I153" s="322"/>
      <c r="J153" s="322">
        <v>33.43</v>
      </c>
    </row>
    <row r="154" spans="1:12" x14ac:dyDescent="0.2">
      <c r="A154" s="317" t="s">
        <v>1110</v>
      </c>
      <c r="B154" s="317" t="s">
        <v>318</v>
      </c>
      <c r="C154" s="318">
        <v>43791</v>
      </c>
      <c r="D154" s="319" t="s">
        <v>293</v>
      </c>
      <c r="E154" s="317" t="s">
        <v>1233</v>
      </c>
      <c r="F154" s="320" t="s">
        <v>1113</v>
      </c>
      <c r="G154" s="321">
        <v>5825</v>
      </c>
      <c r="H154" s="321"/>
      <c r="I154" s="322">
        <v>286.47000000000003</v>
      </c>
      <c r="J154" s="322"/>
    </row>
    <row r="155" spans="1:12" s="194" customFormat="1" x14ac:dyDescent="0.2">
      <c r="A155" s="357" t="s">
        <v>1110</v>
      </c>
      <c r="B155" s="357" t="s">
        <v>318</v>
      </c>
      <c r="C155" s="358">
        <v>43799</v>
      </c>
      <c r="D155" s="359" t="s">
        <v>1115</v>
      </c>
      <c r="E155" s="357" t="s">
        <v>1181</v>
      </c>
      <c r="F155" s="360" t="s">
        <v>1113</v>
      </c>
      <c r="G155" s="361">
        <v>5853</v>
      </c>
      <c r="H155" s="361"/>
      <c r="I155" s="362">
        <v>39.130000000000003</v>
      </c>
      <c r="J155" s="362"/>
    </row>
    <row r="156" spans="1:12" x14ac:dyDescent="0.2">
      <c r="A156" s="306"/>
      <c r="B156" s="306"/>
      <c r="C156" s="306"/>
      <c r="D156" s="306"/>
      <c r="E156" s="306"/>
      <c r="F156" s="306"/>
      <c r="G156" s="306"/>
      <c r="H156" s="306"/>
      <c r="I156" s="323">
        <v>867.22</v>
      </c>
      <c r="J156" s="323">
        <v>656.42</v>
      </c>
      <c r="L156" s="407">
        <f>I156-J156</f>
        <v>210.80000000000007</v>
      </c>
    </row>
    <row r="157" spans="1:12" x14ac:dyDescent="0.2">
      <c r="A157" s="306"/>
      <c r="B157" s="306"/>
      <c r="C157" s="306"/>
      <c r="D157" s="306"/>
      <c r="E157" s="306"/>
      <c r="F157" s="306"/>
      <c r="G157" s="306"/>
      <c r="H157" s="306"/>
      <c r="I157" s="306"/>
      <c r="J157" s="306"/>
    </row>
    <row r="158" spans="1:12" x14ac:dyDescent="0.2">
      <c r="A158" s="316" t="s">
        <v>1234</v>
      </c>
      <c r="B158" s="311"/>
      <c r="C158" s="311"/>
      <c r="D158" s="311"/>
      <c r="E158" s="311"/>
      <c r="F158" s="311"/>
      <c r="G158" s="311"/>
      <c r="H158" s="311"/>
      <c r="I158" s="311"/>
      <c r="J158" s="311"/>
    </row>
    <row r="159" spans="1:12" s="194" customFormat="1" x14ac:dyDescent="0.2">
      <c r="A159" s="357" t="s">
        <v>1235</v>
      </c>
      <c r="B159" s="357" t="s">
        <v>318</v>
      </c>
      <c r="C159" s="358">
        <v>43770</v>
      </c>
      <c r="D159" s="359" t="s">
        <v>293</v>
      </c>
      <c r="E159" s="357" t="s">
        <v>1236</v>
      </c>
      <c r="F159" s="360" t="s">
        <v>1113</v>
      </c>
      <c r="G159" s="361">
        <v>5791</v>
      </c>
      <c r="H159" s="361"/>
      <c r="I159" s="362"/>
      <c r="J159" s="362">
        <v>7777.23</v>
      </c>
    </row>
    <row r="160" spans="1:12" s="194" customFormat="1" x14ac:dyDescent="0.2">
      <c r="A160" s="357" t="s">
        <v>1235</v>
      </c>
      <c r="B160" s="357" t="s">
        <v>318</v>
      </c>
      <c r="C160" s="358">
        <v>43791</v>
      </c>
      <c r="D160" s="359" t="s">
        <v>293</v>
      </c>
      <c r="E160" s="357" t="s">
        <v>1236</v>
      </c>
      <c r="F160" s="360" t="s">
        <v>1113</v>
      </c>
      <c r="G160" s="361">
        <v>5825</v>
      </c>
      <c r="H160" s="361"/>
      <c r="I160" s="362">
        <v>7777.23</v>
      </c>
      <c r="J160" s="362"/>
    </row>
    <row r="161" spans="1:12" x14ac:dyDescent="0.2">
      <c r="A161" s="317" t="s">
        <v>1110</v>
      </c>
      <c r="B161" s="317" t="s">
        <v>318</v>
      </c>
      <c r="C161" s="318">
        <v>43799</v>
      </c>
      <c r="D161" s="319" t="s">
        <v>293</v>
      </c>
      <c r="E161" s="317" t="s">
        <v>1237</v>
      </c>
      <c r="F161" s="320" t="s">
        <v>1113</v>
      </c>
      <c r="G161" s="321">
        <v>5840</v>
      </c>
      <c r="H161" s="321"/>
      <c r="I161" s="322">
        <v>7598.43</v>
      </c>
      <c r="J161" s="322"/>
    </row>
    <row r="162" spans="1:12" x14ac:dyDescent="0.2">
      <c r="A162" s="317" t="s">
        <v>1110</v>
      </c>
      <c r="B162" s="317" t="s">
        <v>318</v>
      </c>
      <c r="C162" s="318">
        <v>43800</v>
      </c>
      <c r="D162" s="319" t="s">
        <v>293</v>
      </c>
      <c r="E162" s="317" t="s">
        <v>1237</v>
      </c>
      <c r="F162" s="320" t="s">
        <v>1113</v>
      </c>
      <c r="G162" s="321">
        <v>5863</v>
      </c>
      <c r="H162" s="321"/>
      <c r="I162" s="322"/>
      <c r="J162" s="322">
        <v>7598.43</v>
      </c>
    </row>
    <row r="163" spans="1:12" x14ac:dyDescent="0.2">
      <c r="A163" s="317" t="s">
        <v>1110</v>
      </c>
      <c r="B163" s="317" t="s">
        <v>318</v>
      </c>
      <c r="C163" s="318">
        <v>43819</v>
      </c>
      <c r="D163" s="319" t="s">
        <v>293</v>
      </c>
      <c r="E163" s="317" t="s">
        <v>1237</v>
      </c>
      <c r="F163" s="320" t="s">
        <v>1113</v>
      </c>
      <c r="G163" s="321">
        <v>5896</v>
      </c>
      <c r="H163" s="321"/>
      <c r="I163" s="322">
        <v>7598.43</v>
      </c>
      <c r="J163" s="322"/>
    </row>
    <row r="164" spans="1:12" s="194" customFormat="1" x14ac:dyDescent="0.2">
      <c r="A164" s="357" t="s">
        <v>1110</v>
      </c>
      <c r="B164" s="357" t="s">
        <v>318</v>
      </c>
      <c r="C164" s="358">
        <v>43830</v>
      </c>
      <c r="D164" s="359" t="s">
        <v>293</v>
      </c>
      <c r="E164" s="357" t="s">
        <v>1238</v>
      </c>
      <c r="F164" s="360" t="s">
        <v>1113</v>
      </c>
      <c r="G164" s="361">
        <v>5904</v>
      </c>
      <c r="H164" s="361"/>
      <c r="I164" s="362">
        <v>8050.03</v>
      </c>
      <c r="J164" s="362"/>
    </row>
    <row r="165" spans="1:12" s="194" customFormat="1" x14ac:dyDescent="0.2">
      <c r="A165" s="357" t="s">
        <v>1110</v>
      </c>
      <c r="B165" s="357" t="s">
        <v>318</v>
      </c>
      <c r="C165" s="358">
        <v>43831</v>
      </c>
      <c r="D165" s="359" t="s">
        <v>293</v>
      </c>
      <c r="E165" s="357" t="s">
        <v>1238</v>
      </c>
      <c r="F165" s="360" t="s">
        <v>1113</v>
      </c>
      <c r="G165" s="361">
        <v>5913</v>
      </c>
      <c r="H165" s="361"/>
      <c r="I165" s="362"/>
      <c r="J165" s="362">
        <v>8050.03</v>
      </c>
    </row>
    <row r="166" spans="1:12" s="194" customFormat="1" x14ac:dyDescent="0.2">
      <c r="A166" s="357" t="s">
        <v>1110</v>
      </c>
      <c r="B166" s="357" t="s">
        <v>318</v>
      </c>
      <c r="C166" s="358">
        <v>43860</v>
      </c>
      <c r="D166" s="359" t="s">
        <v>293</v>
      </c>
      <c r="E166" s="357" t="s">
        <v>1238</v>
      </c>
      <c r="F166" s="360" t="s">
        <v>1113</v>
      </c>
      <c r="G166" s="361">
        <v>5930</v>
      </c>
      <c r="H166" s="361"/>
      <c r="I166" s="362">
        <v>8050.03</v>
      </c>
      <c r="J166" s="362"/>
    </row>
    <row r="167" spans="1:12" s="194" customFormat="1" x14ac:dyDescent="0.2">
      <c r="A167" s="357" t="s">
        <v>1110</v>
      </c>
      <c r="B167" s="357" t="s">
        <v>318</v>
      </c>
      <c r="C167" s="358">
        <v>43890</v>
      </c>
      <c r="D167" s="359" t="s">
        <v>293</v>
      </c>
      <c r="E167" s="357" t="s">
        <v>1238</v>
      </c>
      <c r="F167" s="360" t="s">
        <v>1113</v>
      </c>
      <c r="G167" s="361">
        <v>5975</v>
      </c>
      <c r="H167" s="361"/>
      <c r="I167" s="362">
        <v>200</v>
      </c>
      <c r="J167" s="362"/>
    </row>
    <row r="168" spans="1:12" x14ac:dyDescent="0.2">
      <c r="A168" s="306"/>
      <c r="B168" s="306"/>
      <c r="C168" s="306"/>
      <c r="D168" s="306"/>
      <c r="E168" s="306"/>
      <c r="F168" s="306"/>
      <c r="G168" s="306"/>
      <c r="H168" s="306"/>
      <c r="I168" s="323">
        <v>39274.15</v>
      </c>
      <c r="J168" s="323">
        <v>23425.69</v>
      </c>
      <c r="L168" s="406">
        <f>I168-J168</f>
        <v>15848.460000000003</v>
      </c>
    </row>
    <row r="169" spans="1:12" x14ac:dyDescent="0.2">
      <c r="A169" s="306"/>
      <c r="B169" s="306"/>
      <c r="C169" s="306"/>
      <c r="D169" s="306"/>
      <c r="E169" s="306"/>
      <c r="F169" s="306"/>
      <c r="G169" s="306"/>
      <c r="H169" s="306"/>
      <c r="I169" s="306"/>
      <c r="J169" s="306"/>
    </row>
    <row r="170" spans="1:12" x14ac:dyDescent="0.2">
      <c r="A170" s="316" t="s">
        <v>1157</v>
      </c>
      <c r="B170" s="311"/>
      <c r="C170" s="311"/>
      <c r="D170" s="311"/>
      <c r="E170" s="311"/>
      <c r="F170" s="311"/>
      <c r="G170" s="311"/>
      <c r="H170" s="311"/>
      <c r="I170" s="311"/>
      <c r="J170" s="311"/>
    </row>
    <row r="171" spans="1:12" x14ac:dyDescent="0.2">
      <c r="A171" s="317" t="s">
        <v>1110</v>
      </c>
      <c r="B171" s="317" t="s">
        <v>318</v>
      </c>
      <c r="C171" s="318">
        <v>43861</v>
      </c>
      <c r="D171" s="319" t="s">
        <v>1115</v>
      </c>
      <c r="E171" s="317" t="s">
        <v>1239</v>
      </c>
      <c r="F171" s="320" t="s">
        <v>1113</v>
      </c>
      <c r="G171" s="321">
        <v>5940</v>
      </c>
      <c r="H171" s="321"/>
      <c r="I171" s="322">
        <v>154</v>
      </c>
      <c r="J171" s="322"/>
    </row>
    <row r="172" spans="1:12" s="194" customFormat="1" x14ac:dyDescent="0.2">
      <c r="A172" s="357" t="s">
        <v>1110</v>
      </c>
      <c r="B172" s="357" t="s">
        <v>318</v>
      </c>
      <c r="C172" s="358">
        <v>43860</v>
      </c>
      <c r="D172" s="359" t="s">
        <v>1187</v>
      </c>
      <c r="E172" s="357" t="s">
        <v>1240</v>
      </c>
      <c r="F172" s="360" t="s">
        <v>1139</v>
      </c>
      <c r="G172" s="361">
        <v>5948</v>
      </c>
      <c r="H172" s="361">
        <v>11215</v>
      </c>
      <c r="I172" s="362"/>
      <c r="J172" s="362">
        <v>16</v>
      </c>
    </row>
    <row r="173" spans="1:12" x14ac:dyDescent="0.2">
      <c r="A173" s="317" t="s">
        <v>1110</v>
      </c>
      <c r="B173" s="317" t="s">
        <v>318</v>
      </c>
      <c r="C173" s="318">
        <v>43862</v>
      </c>
      <c r="D173" s="319" t="s">
        <v>1115</v>
      </c>
      <c r="E173" s="317" t="s">
        <v>1239</v>
      </c>
      <c r="F173" s="320" t="s">
        <v>1113</v>
      </c>
      <c r="G173" s="321">
        <v>5943</v>
      </c>
      <c r="H173" s="321"/>
      <c r="I173" s="322"/>
      <c r="J173" s="322">
        <v>154</v>
      </c>
    </row>
    <row r="174" spans="1:12" x14ac:dyDescent="0.2">
      <c r="A174" s="317" t="s">
        <v>1110</v>
      </c>
      <c r="B174" s="317" t="s">
        <v>318</v>
      </c>
      <c r="C174" s="318">
        <v>43890</v>
      </c>
      <c r="D174" s="319" t="s">
        <v>1115</v>
      </c>
      <c r="E174" s="317" t="s">
        <v>1185</v>
      </c>
      <c r="F174" s="320" t="s">
        <v>1113</v>
      </c>
      <c r="G174" s="321">
        <v>5973</v>
      </c>
      <c r="H174" s="321"/>
      <c r="I174" s="322">
        <v>1897.49</v>
      </c>
      <c r="J174" s="322"/>
    </row>
    <row r="175" spans="1:12" x14ac:dyDescent="0.2">
      <c r="A175" s="306"/>
      <c r="B175" s="306"/>
      <c r="C175" s="306"/>
      <c r="D175" s="306"/>
      <c r="E175" s="306"/>
      <c r="F175" s="306"/>
      <c r="G175" s="306"/>
      <c r="H175" s="306"/>
      <c r="I175" s="323">
        <v>2051.4899999999998</v>
      </c>
      <c r="J175" s="323">
        <v>170</v>
      </c>
      <c r="L175" s="406">
        <f>I175-J175</f>
        <v>1881.4899999999998</v>
      </c>
    </row>
    <row r="176" spans="1:12" x14ac:dyDescent="0.2">
      <c r="A176" s="306"/>
      <c r="B176" s="306"/>
      <c r="C176" s="306"/>
      <c r="D176" s="306"/>
      <c r="E176" s="306"/>
      <c r="F176" s="306"/>
      <c r="G176" s="306"/>
      <c r="H176" s="306"/>
      <c r="I176" s="306"/>
      <c r="J176" s="306"/>
    </row>
    <row r="177" spans="1:12" x14ac:dyDescent="0.2">
      <c r="A177" s="316" t="s">
        <v>1162</v>
      </c>
      <c r="B177" s="311"/>
      <c r="C177" s="311"/>
      <c r="D177" s="311"/>
      <c r="E177" s="311"/>
      <c r="F177" s="311"/>
      <c r="G177" s="311"/>
      <c r="H177" s="311"/>
      <c r="I177" s="311"/>
      <c r="J177" s="311"/>
    </row>
    <row r="178" spans="1:12" x14ac:dyDescent="0.2">
      <c r="A178" s="317" t="s">
        <v>1110</v>
      </c>
      <c r="B178" s="317" t="s">
        <v>318</v>
      </c>
      <c r="C178" s="318">
        <v>43780</v>
      </c>
      <c r="D178" s="319" t="s">
        <v>1241</v>
      </c>
      <c r="E178" s="317" t="s">
        <v>1242</v>
      </c>
      <c r="F178" s="320" t="s">
        <v>1119</v>
      </c>
      <c r="G178" s="321">
        <v>5847</v>
      </c>
      <c r="H178" s="321">
        <v>47575</v>
      </c>
      <c r="I178" s="322">
        <v>28</v>
      </c>
      <c r="J178" s="322"/>
    </row>
    <row r="179" spans="1:12" x14ac:dyDescent="0.2">
      <c r="A179" s="317" t="s">
        <v>1110</v>
      </c>
      <c r="B179" s="317" t="s">
        <v>318</v>
      </c>
      <c r="C179" s="318">
        <v>43780</v>
      </c>
      <c r="D179" s="319" t="s">
        <v>1241</v>
      </c>
      <c r="E179" s="317" t="s">
        <v>1242</v>
      </c>
      <c r="F179" s="320" t="s">
        <v>1119</v>
      </c>
      <c r="G179" s="321">
        <v>5847</v>
      </c>
      <c r="H179" s="321">
        <v>47575</v>
      </c>
      <c r="I179" s="322">
        <v>46.55</v>
      </c>
      <c r="J179" s="322"/>
    </row>
    <row r="180" spans="1:12" x14ac:dyDescent="0.2">
      <c r="A180" s="317" t="s">
        <v>1110</v>
      </c>
      <c r="B180" s="317" t="s">
        <v>318</v>
      </c>
      <c r="C180" s="318">
        <v>43830</v>
      </c>
      <c r="D180" s="319" t="s">
        <v>1243</v>
      </c>
      <c r="E180" s="317" t="s">
        <v>1244</v>
      </c>
      <c r="F180" s="320" t="s">
        <v>1119</v>
      </c>
      <c r="G180" s="321">
        <v>5918</v>
      </c>
      <c r="H180" s="321">
        <v>47971</v>
      </c>
      <c r="I180" s="322">
        <v>81.98</v>
      </c>
      <c r="J180" s="322"/>
    </row>
    <row r="181" spans="1:12" x14ac:dyDescent="0.2">
      <c r="A181" s="317" t="s">
        <v>1110</v>
      </c>
      <c r="B181" s="317" t="s">
        <v>318</v>
      </c>
      <c r="C181" s="318">
        <v>43830</v>
      </c>
      <c r="D181" s="319" t="s">
        <v>1243</v>
      </c>
      <c r="E181" s="317" t="s">
        <v>1244</v>
      </c>
      <c r="F181" s="320" t="s">
        <v>1119</v>
      </c>
      <c r="G181" s="321">
        <v>5918</v>
      </c>
      <c r="H181" s="321">
        <v>47971</v>
      </c>
      <c r="I181" s="322">
        <v>35</v>
      </c>
      <c r="J181" s="322"/>
    </row>
    <row r="182" spans="1:12" x14ac:dyDescent="0.2">
      <c r="A182" s="317" t="s">
        <v>1110</v>
      </c>
      <c r="B182" s="317" t="s">
        <v>318</v>
      </c>
      <c r="C182" s="318">
        <v>43846</v>
      </c>
      <c r="D182" s="319" t="s">
        <v>1245</v>
      </c>
      <c r="E182" s="317" t="s">
        <v>1246</v>
      </c>
      <c r="F182" s="320" t="s">
        <v>1119</v>
      </c>
      <c r="G182" s="321">
        <v>5950</v>
      </c>
      <c r="H182" s="321">
        <v>48135</v>
      </c>
      <c r="I182" s="322">
        <v>70</v>
      </c>
      <c r="J182" s="322"/>
    </row>
    <row r="183" spans="1:12" x14ac:dyDescent="0.2">
      <c r="A183" s="317" t="s">
        <v>1110</v>
      </c>
      <c r="B183" s="317" t="s">
        <v>318</v>
      </c>
      <c r="C183" s="318">
        <v>43846</v>
      </c>
      <c r="D183" s="319" t="s">
        <v>1245</v>
      </c>
      <c r="E183" s="317" t="s">
        <v>1246</v>
      </c>
      <c r="F183" s="320" t="s">
        <v>1119</v>
      </c>
      <c r="G183" s="321">
        <v>5950</v>
      </c>
      <c r="H183" s="321">
        <v>48135</v>
      </c>
      <c r="I183" s="322">
        <v>69.400000000000006</v>
      </c>
      <c r="J183" s="322"/>
    </row>
    <row r="184" spans="1:12" x14ac:dyDescent="0.2">
      <c r="A184" s="306"/>
      <c r="B184" s="306"/>
      <c r="C184" s="306"/>
      <c r="D184" s="306"/>
      <c r="E184" s="306"/>
      <c r="F184" s="306"/>
      <c r="G184" s="306"/>
      <c r="H184" s="306"/>
      <c r="I184" s="323">
        <v>330.92999999999995</v>
      </c>
      <c r="J184" s="323">
        <v>0</v>
      </c>
      <c r="L184" s="392">
        <f>I184-J184</f>
        <v>330.92999999999995</v>
      </c>
    </row>
    <row r="185" spans="1:12" x14ac:dyDescent="0.2">
      <c r="A185" s="306"/>
      <c r="B185" s="306"/>
      <c r="C185" s="306"/>
      <c r="D185" s="306"/>
      <c r="E185" s="306"/>
      <c r="F185" s="306"/>
      <c r="G185" s="306"/>
      <c r="H185" s="306"/>
      <c r="I185" s="306"/>
      <c r="J185" s="306"/>
    </row>
    <row r="186" spans="1:12" x14ac:dyDescent="0.2">
      <c r="A186" s="316" t="s">
        <v>1247</v>
      </c>
      <c r="B186" s="311"/>
      <c r="C186" s="311"/>
      <c r="D186" s="311"/>
      <c r="E186" s="311"/>
      <c r="F186" s="311"/>
      <c r="G186" s="311"/>
      <c r="H186" s="311"/>
      <c r="I186" s="311"/>
      <c r="J186" s="311"/>
    </row>
    <row r="187" spans="1:12" x14ac:dyDescent="0.2">
      <c r="A187" s="317" t="s">
        <v>1248</v>
      </c>
      <c r="B187" s="317" t="s">
        <v>318</v>
      </c>
      <c r="C187" s="318">
        <v>43830</v>
      </c>
      <c r="D187" s="319" t="s">
        <v>1115</v>
      </c>
      <c r="E187" s="317" t="s">
        <v>1202</v>
      </c>
      <c r="F187" s="320" t="s">
        <v>1113</v>
      </c>
      <c r="G187" s="321">
        <v>5901</v>
      </c>
      <c r="H187" s="321"/>
      <c r="I187" s="322">
        <v>254.44</v>
      </c>
      <c r="J187" s="322"/>
    </row>
    <row r="188" spans="1:12" x14ac:dyDescent="0.2">
      <c r="A188" s="317" t="s">
        <v>1248</v>
      </c>
      <c r="B188" s="317" t="s">
        <v>318</v>
      </c>
      <c r="C188" s="318">
        <v>43831</v>
      </c>
      <c r="D188" s="319" t="s">
        <v>1115</v>
      </c>
      <c r="E188" s="317" t="s">
        <v>1202</v>
      </c>
      <c r="F188" s="320" t="s">
        <v>1113</v>
      </c>
      <c r="G188" s="321">
        <v>5908</v>
      </c>
      <c r="H188" s="321"/>
      <c r="I188" s="322"/>
      <c r="J188" s="322">
        <v>254.44</v>
      </c>
    </row>
    <row r="189" spans="1:12" x14ac:dyDescent="0.2">
      <c r="A189" s="317" t="s">
        <v>1248</v>
      </c>
      <c r="B189" s="317" t="s">
        <v>1158</v>
      </c>
      <c r="C189" s="318">
        <v>43861</v>
      </c>
      <c r="D189" s="319" t="s">
        <v>1115</v>
      </c>
      <c r="E189" s="317" t="s">
        <v>1249</v>
      </c>
      <c r="F189" s="320" t="s">
        <v>1113</v>
      </c>
      <c r="G189" s="321">
        <v>5938</v>
      </c>
      <c r="H189" s="321"/>
      <c r="I189" s="322">
        <v>254.44</v>
      </c>
      <c r="J189" s="322"/>
    </row>
    <row r="190" spans="1:12" x14ac:dyDescent="0.2">
      <c r="A190" s="306"/>
      <c r="B190" s="306"/>
      <c r="C190" s="306"/>
      <c r="D190" s="306"/>
      <c r="E190" s="306"/>
      <c r="F190" s="306"/>
      <c r="G190" s="306"/>
      <c r="H190" s="306"/>
      <c r="I190" s="323">
        <v>508.88</v>
      </c>
      <c r="J190" s="323">
        <v>254.44</v>
      </c>
      <c r="L190" s="392">
        <f>I190-J190</f>
        <v>254.44</v>
      </c>
    </row>
    <row r="191" spans="1:12" x14ac:dyDescent="0.2">
      <c r="A191" s="306"/>
      <c r="B191" s="306"/>
      <c r="C191" s="306"/>
      <c r="D191" s="306"/>
      <c r="E191" s="306"/>
      <c r="F191" s="306"/>
      <c r="G191" s="306"/>
      <c r="H191" s="306"/>
      <c r="I191" s="306"/>
      <c r="J191" s="306"/>
    </row>
    <row r="192" spans="1:12" x14ac:dyDescent="0.2">
      <c r="A192" s="306"/>
      <c r="B192" s="306"/>
      <c r="C192" s="306"/>
      <c r="D192" s="306"/>
      <c r="E192" s="306"/>
      <c r="F192" s="306"/>
      <c r="G192" s="306"/>
      <c r="H192" s="306"/>
      <c r="I192" s="306"/>
      <c r="J192" s="306"/>
    </row>
    <row r="193" spans="1:10" x14ac:dyDescent="0.2">
      <c r="A193" s="306"/>
      <c r="B193" s="306"/>
      <c r="C193" s="306"/>
      <c r="D193" s="306"/>
      <c r="E193" s="306"/>
      <c r="F193" s="306"/>
      <c r="G193" s="306"/>
      <c r="H193" s="306"/>
      <c r="I193" s="323">
        <f>I9+I13+I17+I22+I30+I34+I49+I80+I112+I137+I156+I168+I175+I184+I190</f>
        <v>60608.71</v>
      </c>
      <c r="J193" s="323">
        <f>J9+J13+J17+J22+J30+J34+J49+J80+J112+J137+J156+J168+J175+J184+J190</f>
        <v>34223.840000000004</v>
      </c>
    </row>
    <row r="199" spans="1:10" ht="16.5" x14ac:dyDescent="0.25">
      <c r="A199" s="307" t="s">
        <v>1095</v>
      </c>
      <c r="B199" s="306"/>
      <c r="C199" s="306"/>
      <c r="D199" s="306"/>
      <c r="E199" s="306"/>
      <c r="F199" s="306"/>
      <c r="G199" s="306"/>
      <c r="H199" s="306"/>
      <c r="I199" s="306"/>
      <c r="J199" s="306"/>
    </row>
    <row r="200" spans="1:10" ht="16.5" x14ac:dyDescent="0.25">
      <c r="A200" s="307" t="s">
        <v>53</v>
      </c>
      <c r="B200" s="306"/>
      <c r="C200" s="306"/>
      <c r="D200" s="306"/>
      <c r="E200" s="306"/>
      <c r="F200" s="306"/>
      <c r="G200" s="306"/>
      <c r="H200" s="306"/>
      <c r="I200" s="306"/>
      <c r="J200" s="306"/>
    </row>
    <row r="201" spans="1:10" x14ac:dyDescent="0.2">
      <c r="A201" s="306" t="s">
        <v>1096</v>
      </c>
      <c r="B201" s="308">
        <v>43921</v>
      </c>
      <c r="C201" s="306" t="s">
        <v>1097</v>
      </c>
      <c r="D201" s="309" t="s">
        <v>1250</v>
      </c>
      <c r="E201" s="306"/>
      <c r="F201" s="306"/>
      <c r="G201" s="306"/>
      <c r="H201" s="306"/>
      <c r="I201" s="306"/>
      <c r="J201" s="306"/>
    </row>
    <row r="202" spans="1:10" ht="15" x14ac:dyDescent="0.2">
      <c r="A202" s="310" t="s">
        <v>1251</v>
      </c>
      <c r="B202" s="310"/>
      <c r="C202" s="310"/>
      <c r="D202" s="310"/>
      <c r="E202" s="310"/>
      <c r="F202" s="310"/>
      <c r="G202" s="310"/>
      <c r="H202" s="310"/>
      <c r="I202" s="310"/>
      <c r="J202" s="310"/>
    </row>
    <row r="204" spans="1:10" ht="25.5" x14ac:dyDescent="0.2">
      <c r="A204" s="312" t="s">
        <v>1100</v>
      </c>
      <c r="B204" s="312" t="s">
        <v>1101</v>
      </c>
      <c r="C204" s="313" t="s">
        <v>1102</v>
      </c>
      <c r="D204" s="313" t="s">
        <v>1103</v>
      </c>
      <c r="E204" s="312" t="s">
        <v>237</v>
      </c>
      <c r="F204" s="314" t="s">
        <v>1104</v>
      </c>
      <c r="G204" s="315" t="s">
        <v>1105</v>
      </c>
      <c r="H204" s="313" t="s">
        <v>1106</v>
      </c>
      <c r="I204" s="313" t="s">
        <v>1107</v>
      </c>
      <c r="J204" s="313" t="s">
        <v>1108</v>
      </c>
    </row>
    <row r="205" spans="1:10" x14ac:dyDescent="0.2">
      <c r="A205" s="316" t="s">
        <v>1182</v>
      </c>
      <c r="B205" s="311"/>
      <c r="C205" s="311"/>
      <c r="D205" s="311"/>
      <c r="E205" s="311"/>
      <c r="F205" s="311"/>
      <c r="G205" s="311"/>
      <c r="H205" s="311"/>
      <c r="I205" s="311"/>
      <c r="J205" s="311"/>
    </row>
    <row r="206" spans="1:10" x14ac:dyDescent="0.2">
      <c r="A206" s="317" t="s">
        <v>1133</v>
      </c>
      <c r="B206" s="317" t="s">
        <v>318</v>
      </c>
      <c r="C206" s="318">
        <v>43921</v>
      </c>
      <c r="D206" s="319" t="s">
        <v>1134</v>
      </c>
      <c r="E206" s="317" t="s">
        <v>1252</v>
      </c>
      <c r="F206" s="320" t="s">
        <v>1113</v>
      </c>
      <c r="G206" s="321">
        <v>6051</v>
      </c>
      <c r="H206" s="321"/>
      <c r="I206" s="322">
        <v>14.05</v>
      </c>
      <c r="J206" s="322"/>
    </row>
    <row r="207" spans="1:10" x14ac:dyDescent="0.2">
      <c r="A207" s="317" t="s">
        <v>1110</v>
      </c>
      <c r="B207" s="317" t="s">
        <v>318</v>
      </c>
      <c r="C207" s="318">
        <v>43891</v>
      </c>
      <c r="D207" s="319" t="s">
        <v>1115</v>
      </c>
      <c r="E207" s="317" t="s">
        <v>1185</v>
      </c>
      <c r="F207" s="320" t="s">
        <v>1113</v>
      </c>
      <c r="G207" s="321">
        <v>5978</v>
      </c>
      <c r="H207" s="321"/>
      <c r="I207" s="322"/>
      <c r="J207" s="322">
        <v>540.16999999999996</v>
      </c>
    </row>
    <row r="208" spans="1:10" x14ac:dyDescent="0.2">
      <c r="A208" s="317" t="s">
        <v>1110</v>
      </c>
      <c r="B208" s="317" t="s">
        <v>318</v>
      </c>
      <c r="C208" s="318">
        <v>43921</v>
      </c>
      <c r="D208" s="319" t="s">
        <v>1134</v>
      </c>
      <c r="E208" s="317" t="s">
        <v>1253</v>
      </c>
      <c r="F208" s="320" t="s">
        <v>1113</v>
      </c>
      <c r="G208" s="321">
        <v>6051</v>
      </c>
      <c r="H208" s="321"/>
      <c r="I208" s="322">
        <v>29.75</v>
      </c>
      <c r="J208" s="322"/>
    </row>
    <row r="209" spans="1:12" x14ac:dyDescent="0.2">
      <c r="A209" s="317" t="s">
        <v>1110</v>
      </c>
      <c r="B209" s="317" t="s">
        <v>318</v>
      </c>
      <c r="C209" s="318">
        <v>43921</v>
      </c>
      <c r="D209" s="319" t="s">
        <v>1134</v>
      </c>
      <c r="E209" s="317" t="s">
        <v>1254</v>
      </c>
      <c r="F209" s="320" t="s">
        <v>1113</v>
      </c>
      <c r="G209" s="321">
        <v>6051</v>
      </c>
      <c r="H209" s="321"/>
      <c r="I209" s="322">
        <v>35.22</v>
      </c>
      <c r="J209" s="322"/>
    </row>
    <row r="210" spans="1:12" x14ac:dyDescent="0.2">
      <c r="A210" s="317" t="s">
        <v>1110</v>
      </c>
      <c r="B210" s="317" t="s">
        <v>318</v>
      </c>
      <c r="C210" s="318">
        <v>43921</v>
      </c>
      <c r="D210" s="319" t="s">
        <v>1134</v>
      </c>
      <c r="E210" s="317" t="s">
        <v>1255</v>
      </c>
      <c r="F210" s="320" t="s">
        <v>1113</v>
      </c>
      <c r="G210" s="321">
        <v>6051</v>
      </c>
      <c r="H210" s="321"/>
      <c r="I210" s="322">
        <v>26.35</v>
      </c>
      <c r="J210" s="322"/>
    </row>
    <row r="211" spans="1:12" x14ac:dyDescent="0.2">
      <c r="A211" s="317" t="s">
        <v>1110</v>
      </c>
      <c r="B211" s="317" t="s">
        <v>318</v>
      </c>
      <c r="C211" s="318">
        <v>43921</v>
      </c>
      <c r="D211" s="319" t="s">
        <v>1134</v>
      </c>
      <c r="E211" s="317" t="s">
        <v>1256</v>
      </c>
      <c r="F211" s="320" t="s">
        <v>1113</v>
      </c>
      <c r="G211" s="321">
        <v>6051</v>
      </c>
      <c r="H211" s="321"/>
      <c r="I211" s="322">
        <v>21.65</v>
      </c>
      <c r="J211" s="322"/>
    </row>
    <row r="212" spans="1:12" x14ac:dyDescent="0.2">
      <c r="A212" s="317" t="s">
        <v>1110</v>
      </c>
      <c r="B212" s="317" t="s">
        <v>318</v>
      </c>
      <c r="C212" s="318">
        <v>43921</v>
      </c>
      <c r="D212" s="319" t="s">
        <v>1134</v>
      </c>
      <c r="E212" s="317" t="s">
        <v>1257</v>
      </c>
      <c r="F212" s="320" t="s">
        <v>1113</v>
      </c>
      <c r="G212" s="321">
        <v>6051</v>
      </c>
      <c r="H212" s="321"/>
      <c r="I212" s="322">
        <v>15.11</v>
      </c>
      <c r="J212" s="322"/>
    </row>
    <row r="213" spans="1:12" x14ac:dyDescent="0.2">
      <c r="A213" s="306"/>
      <c r="B213" s="306"/>
      <c r="C213" s="306"/>
      <c r="D213" s="306"/>
      <c r="E213" s="306"/>
      <c r="F213" s="306"/>
      <c r="G213" s="306"/>
      <c r="H213" s="306"/>
      <c r="I213" s="323">
        <v>142.13</v>
      </c>
      <c r="J213" s="323">
        <v>540.16999999999996</v>
      </c>
      <c r="L213" s="406">
        <f>I213-J213</f>
        <v>-398.03999999999996</v>
      </c>
    </row>
    <row r="214" spans="1:12" x14ac:dyDescent="0.2">
      <c r="A214" s="306"/>
      <c r="B214" s="306"/>
      <c r="C214" s="306"/>
      <c r="D214" s="306"/>
      <c r="E214" s="306"/>
      <c r="F214" s="306"/>
      <c r="G214" s="306"/>
      <c r="H214" s="306"/>
      <c r="I214" s="306"/>
      <c r="J214" s="306"/>
    </row>
    <row r="215" spans="1:12" x14ac:dyDescent="0.2">
      <c r="A215" s="316" t="s">
        <v>1125</v>
      </c>
      <c r="B215" s="311"/>
      <c r="C215" s="311"/>
      <c r="D215" s="311"/>
      <c r="E215" s="311"/>
      <c r="F215" s="311"/>
      <c r="G215" s="311"/>
      <c r="H215" s="311"/>
      <c r="I215" s="311"/>
      <c r="J215" s="311"/>
    </row>
    <row r="216" spans="1:12" x14ac:dyDescent="0.2">
      <c r="A216" s="317" t="s">
        <v>1258</v>
      </c>
      <c r="B216" s="317" t="s">
        <v>1259</v>
      </c>
      <c r="C216" s="318">
        <v>43921</v>
      </c>
      <c r="D216" s="319" t="s">
        <v>1134</v>
      </c>
      <c r="E216" s="317" t="s">
        <v>1260</v>
      </c>
      <c r="F216" s="320" t="s">
        <v>1113</v>
      </c>
      <c r="G216" s="321">
        <v>6051</v>
      </c>
      <c r="H216" s="321"/>
      <c r="I216" s="322">
        <v>144.26</v>
      </c>
      <c r="J216" s="322"/>
    </row>
    <row r="217" spans="1:12" x14ac:dyDescent="0.2">
      <c r="A217" s="317" t="s">
        <v>1110</v>
      </c>
      <c r="B217" s="317" t="s">
        <v>318</v>
      </c>
      <c r="C217" s="318">
        <v>43905</v>
      </c>
      <c r="D217" s="319" t="s">
        <v>1261</v>
      </c>
      <c r="E217" s="317" t="s">
        <v>1262</v>
      </c>
      <c r="F217" s="320" t="s">
        <v>1119</v>
      </c>
      <c r="G217" s="321">
        <v>6044</v>
      </c>
      <c r="H217" s="321">
        <v>48951</v>
      </c>
      <c r="I217" s="322">
        <v>141.84</v>
      </c>
      <c r="J217" s="322"/>
    </row>
    <row r="218" spans="1:12" x14ac:dyDescent="0.2">
      <c r="A218" s="317" t="s">
        <v>1110</v>
      </c>
      <c r="B218" s="317" t="s">
        <v>318</v>
      </c>
      <c r="C218" s="318">
        <v>43905</v>
      </c>
      <c r="D218" s="319" t="s">
        <v>1263</v>
      </c>
      <c r="E218" s="317" t="s">
        <v>1262</v>
      </c>
      <c r="F218" s="320" t="s">
        <v>1119</v>
      </c>
      <c r="G218" s="321">
        <v>6044</v>
      </c>
      <c r="H218" s="321">
        <v>48952</v>
      </c>
      <c r="I218" s="322">
        <v>754.98</v>
      </c>
      <c r="J218" s="322"/>
    </row>
    <row r="219" spans="1:12" x14ac:dyDescent="0.2">
      <c r="A219" s="306"/>
      <c r="B219" s="306"/>
      <c r="C219" s="306"/>
      <c r="D219" s="306"/>
      <c r="E219" s="306"/>
      <c r="F219" s="306"/>
      <c r="G219" s="306"/>
      <c r="H219" s="306"/>
      <c r="I219" s="323">
        <v>1041.08</v>
      </c>
      <c r="J219" s="323">
        <v>0</v>
      </c>
      <c r="L219" s="406">
        <f>I219-J219</f>
        <v>1041.08</v>
      </c>
    </row>
    <row r="220" spans="1:12" x14ac:dyDescent="0.2">
      <c r="A220" s="306"/>
      <c r="B220" s="306"/>
      <c r="C220" s="306"/>
      <c r="D220" s="306"/>
      <c r="E220" s="306"/>
      <c r="F220" s="306"/>
      <c r="G220" s="306"/>
      <c r="H220" s="306"/>
      <c r="I220" s="306"/>
      <c r="J220" s="306"/>
    </row>
    <row r="221" spans="1:12" x14ac:dyDescent="0.2">
      <c r="A221" s="316" t="s">
        <v>1128</v>
      </c>
      <c r="B221" s="311"/>
      <c r="C221" s="311"/>
      <c r="D221" s="311"/>
      <c r="E221" s="311"/>
      <c r="F221" s="311"/>
      <c r="G221" s="311"/>
      <c r="H221" s="311"/>
      <c r="I221" s="311"/>
      <c r="J221" s="311"/>
    </row>
    <row r="222" spans="1:12" x14ac:dyDescent="0.2">
      <c r="A222" s="317" t="s">
        <v>1110</v>
      </c>
      <c r="B222" s="317" t="s">
        <v>318</v>
      </c>
      <c r="C222" s="318">
        <v>43891</v>
      </c>
      <c r="D222" s="319" t="s">
        <v>293</v>
      </c>
      <c r="E222" s="317" t="s">
        <v>1129</v>
      </c>
      <c r="F222" s="320" t="s">
        <v>1113</v>
      </c>
      <c r="G222" s="321">
        <v>5992</v>
      </c>
      <c r="H222" s="321"/>
      <c r="I222" s="322"/>
      <c r="J222" s="322">
        <v>89.4</v>
      </c>
    </row>
    <row r="223" spans="1:12" x14ac:dyDescent="0.2">
      <c r="A223" s="317" t="s">
        <v>1110</v>
      </c>
      <c r="B223" s="317" t="s">
        <v>318</v>
      </c>
      <c r="C223" s="318">
        <v>43921</v>
      </c>
      <c r="D223" s="319" t="s">
        <v>293</v>
      </c>
      <c r="E223" s="317" t="s">
        <v>1129</v>
      </c>
      <c r="F223" s="320" t="s">
        <v>1113</v>
      </c>
      <c r="G223" s="321">
        <v>6048</v>
      </c>
      <c r="H223" s="321"/>
      <c r="I223" s="322">
        <v>28</v>
      </c>
      <c r="J223" s="322"/>
    </row>
    <row r="224" spans="1:12" x14ac:dyDescent="0.2">
      <c r="A224" s="317" t="s">
        <v>1110</v>
      </c>
      <c r="B224" s="317" t="s">
        <v>318</v>
      </c>
      <c r="C224" s="318">
        <v>43921</v>
      </c>
      <c r="D224" s="319" t="s">
        <v>293</v>
      </c>
      <c r="E224" s="317" t="s">
        <v>1129</v>
      </c>
      <c r="F224" s="320" t="s">
        <v>1113</v>
      </c>
      <c r="G224" s="321">
        <v>6047</v>
      </c>
      <c r="H224" s="321"/>
      <c r="I224" s="322">
        <v>89.4</v>
      </c>
      <c r="J224" s="322"/>
    </row>
    <row r="225" spans="1:12" x14ac:dyDescent="0.2">
      <c r="A225" s="306"/>
      <c r="B225" s="306"/>
      <c r="C225" s="306"/>
      <c r="D225" s="306"/>
      <c r="E225" s="306"/>
      <c r="F225" s="306"/>
      <c r="G225" s="306"/>
      <c r="H225" s="306"/>
      <c r="I225" s="323">
        <v>117.4</v>
      </c>
      <c r="J225" s="323">
        <v>89.4</v>
      </c>
      <c r="L225" s="406">
        <f>I225-J225</f>
        <v>28</v>
      </c>
    </row>
    <row r="226" spans="1:12" x14ac:dyDescent="0.2">
      <c r="A226" s="306"/>
      <c r="B226" s="306"/>
      <c r="C226" s="306"/>
      <c r="D226" s="306"/>
      <c r="E226" s="306"/>
      <c r="F226" s="306"/>
      <c r="G226" s="306"/>
      <c r="H226" s="306"/>
      <c r="I226" s="306"/>
      <c r="J226" s="306"/>
    </row>
    <row r="227" spans="1:12" x14ac:dyDescent="0.2">
      <c r="A227" s="316" t="s">
        <v>1130</v>
      </c>
      <c r="B227" s="311"/>
      <c r="C227" s="311"/>
      <c r="D227" s="311"/>
      <c r="E227" s="311"/>
      <c r="F227" s="311"/>
      <c r="G227" s="311"/>
      <c r="H227" s="311"/>
      <c r="I227" s="311"/>
      <c r="J227" s="311"/>
    </row>
    <row r="228" spans="1:12" x14ac:dyDescent="0.2">
      <c r="A228" s="317" t="s">
        <v>1110</v>
      </c>
      <c r="B228" s="317" t="s">
        <v>318</v>
      </c>
      <c r="C228" s="318">
        <v>43891</v>
      </c>
      <c r="D228" s="319" t="s">
        <v>293</v>
      </c>
      <c r="E228" s="317" t="s">
        <v>1200</v>
      </c>
      <c r="F228" s="320" t="s">
        <v>1113</v>
      </c>
      <c r="G228" s="321">
        <v>5992</v>
      </c>
      <c r="H228" s="321"/>
      <c r="I228" s="322"/>
      <c r="J228" s="322">
        <v>231.13</v>
      </c>
    </row>
    <row r="229" spans="1:12" x14ac:dyDescent="0.2">
      <c r="A229" s="317" t="s">
        <v>1110</v>
      </c>
      <c r="B229" s="317" t="s">
        <v>318</v>
      </c>
      <c r="C229" s="318">
        <v>43891</v>
      </c>
      <c r="D229" s="319" t="s">
        <v>293</v>
      </c>
      <c r="E229" s="317" t="s">
        <v>1136</v>
      </c>
      <c r="F229" s="320" t="s">
        <v>1113</v>
      </c>
      <c r="G229" s="321">
        <v>5992</v>
      </c>
      <c r="H229" s="321"/>
      <c r="I229" s="322"/>
      <c r="J229" s="322">
        <v>309.13</v>
      </c>
    </row>
    <row r="230" spans="1:12" x14ac:dyDescent="0.2">
      <c r="A230" s="317" t="s">
        <v>1110</v>
      </c>
      <c r="B230" s="317" t="s">
        <v>318</v>
      </c>
      <c r="C230" s="318">
        <v>43891</v>
      </c>
      <c r="D230" s="319" t="s">
        <v>293</v>
      </c>
      <c r="E230" s="317" t="s">
        <v>1201</v>
      </c>
      <c r="F230" s="320" t="s">
        <v>1113</v>
      </c>
      <c r="G230" s="321">
        <v>5992</v>
      </c>
      <c r="H230" s="321"/>
      <c r="I230" s="322"/>
      <c r="J230" s="322">
        <v>121.74</v>
      </c>
    </row>
    <row r="231" spans="1:12" s="194" customFormat="1" x14ac:dyDescent="0.2">
      <c r="A231" s="357" t="s">
        <v>1110</v>
      </c>
      <c r="B231" s="357" t="s">
        <v>318</v>
      </c>
      <c r="C231" s="358">
        <v>43891</v>
      </c>
      <c r="D231" s="359" t="s">
        <v>293</v>
      </c>
      <c r="E231" s="357" t="s">
        <v>1131</v>
      </c>
      <c r="F231" s="360" t="s">
        <v>1113</v>
      </c>
      <c r="G231" s="361">
        <v>5992</v>
      </c>
      <c r="H231" s="361"/>
      <c r="I231" s="362"/>
      <c r="J231" s="362">
        <v>230.69</v>
      </c>
    </row>
    <row r="232" spans="1:12" s="194" customFormat="1" x14ac:dyDescent="0.2">
      <c r="A232" s="357" t="s">
        <v>1110</v>
      </c>
      <c r="B232" s="357" t="s">
        <v>318</v>
      </c>
      <c r="C232" s="358">
        <v>43921</v>
      </c>
      <c r="D232" s="359" t="s">
        <v>293</v>
      </c>
      <c r="E232" s="357" t="s">
        <v>1131</v>
      </c>
      <c r="F232" s="360" t="s">
        <v>1113</v>
      </c>
      <c r="G232" s="361">
        <v>6048</v>
      </c>
      <c r="H232" s="361"/>
      <c r="I232" s="362"/>
      <c r="J232" s="362">
        <v>230.69</v>
      </c>
    </row>
    <row r="233" spans="1:12" x14ac:dyDescent="0.2">
      <c r="A233" s="317" t="s">
        <v>1110</v>
      </c>
      <c r="B233" s="317" t="s">
        <v>318</v>
      </c>
      <c r="C233" s="318">
        <v>43921</v>
      </c>
      <c r="D233" s="319" t="s">
        <v>293</v>
      </c>
      <c r="E233" s="317" t="s">
        <v>1200</v>
      </c>
      <c r="F233" s="320" t="s">
        <v>1113</v>
      </c>
      <c r="G233" s="321">
        <v>6047</v>
      </c>
      <c r="H233" s="321"/>
      <c r="I233" s="322">
        <v>231.13</v>
      </c>
      <c r="J233" s="322"/>
    </row>
    <row r="234" spans="1:12" x14ac:dyDescent="0.2">
      <c r="A234" s="317" t="s">
        <v>1110</v>
      </c>
      <c r="B234" s="317" t="s">
        <v>318</v>
      </c>
      <c r="C234" s="318">
        <v>43921</v>
      </c>
      <c r="D234" s="319" t="s">
        <v>293</v>
      </c>
      <c r="E234" s="317" t="s">
        <v>1136</v>
      </c>
      <c r="F234" s="320" t="s">
        <v>1113</v>
      </c>
      <c r="G234" s="321">
        <v>6047</v>
      </c>
      <c r="H234" s="321"/>
      <c r="I234" s="322">
        <v>309.13</v>
      </c>
      <c r="J234" s="322"/>
    </row>
    <row r="235" spans="1:12" x14ac:dyDescent="0.2">
      <c r="A235" s="317" t="s">
        <v>1110</v>
      </c>
      <c r="B235" s="317" t="s">
        <v>318</v>
      </c>
      <c r="C235" s="318">
        <v>43921</v>
      </c>
      <c r="D235" s="319" t="s">
        <v>293</v>
      </c>
      <c r="E235" s="317" t="s">
        <v>1201</v>
      </c>
      <c r="F235" s="320" t="s">
        <v>1113</v>
      </c>
      <c r="G235" s="321">
        <v>6047</v>
      </c>
      <c r="H235" s="321"/>
      <c r="I235" s="322">
        <v>121.74</v>
      </c>
      <c r="J235" s="322"/>
    </row>
    <row r="236" spans="1:12" s="194" customFormat="1" x14ac:dyDescent="0.2">
      <c r="A236" s="357" t="s">
        <v>1110</v>
      </c>
      <c r="B236" s="357" t="s">
        <v>318</v>
      </c>
      <c r="C236" s="358">
        <v>43921</v>
      </c>
      <c r="D236" s="359" t="s">
        <v>293</v>
      </c>
      <c r="E236" s="357" t="s">
        <v>1131</v>
      </c>
      <c r="F236" s="360" t="s">
        <v>1113</v>
      </c>
      <c r="G236" s="361">
        <v>6047</v>
      </c>
      <c r="H236" s="361"/>
      <c r="I236" s="362">
        <v>230.69</v>
      </c>
      <c r="J236" s="362"/>
    </row>
    <row r="237" spans="1:12" x14ac:dyDescent="0.2">
      <c r="A237" s="317" t="s">
        <v>1110</v>
      </c>
      <c r="B237" s="317" t="s">
        <v>318</v>
      </c>
      <c r="C237" s="318">
        <v>43921</v>
      </c>
      <c r="D237" s="319" t="s">
        <v>1134</v>
      </c>
      <c r="E237" s="317" t="s">
        <v>1264</v>
      </c>
      <c r="F237" s="320" t="s">
        <v>1113</v>
      </c>
      <c r="G237" s="321">
        <v>6051</v>
      </c>
      <c r="H237" s="321"/>
      <c r="I237" s="322">
        <v>86.96</v>
      </c>
      <c r="J237" s="322"/>
    </row>
    <row r="238" spans="1:12" x14ac:dyDescent="0.2">
      <c r="A238" s="306"/>
      <c r="B238" s="306"/>
      <c r="C238" s="306"/>
      <c r="D238" s="306"/>
      <c r="E238" s="306"/>
      <c r="F238" s="306"/>
      <c r="G238" s="306"/>
      <c r="H238" s="306"/>
      <c r="I238" s="323">
        <v>979.65000000000009</v>
      </c>
      <c r="J238" s="323">
        <v>1123.3800000000001</v>
      </c>
      <c r="L238" s="406">
        <f>I238-J238</f>
        <v>-143.73000000000002</v>
      </c>
    </row>
    <row r="239" spans="1:12" x14ac:dyDescent="0.2">
      <c r="A239" s="306"/>
      <c r="B239" s="306"/>
      <c r="C239" s="306"/>
      <c r="D239" s="306"/>
      <c r="E239" s="306"/>
      <c r="F239" s="306"/>
      <c r="G239" s="306"/>
      <c r="H239" s="306"/>
      <c r="I239" s="306"/>
      <c r="J239" s="306"/>
    </row>
    <row r="240" spans="1:12" x14ac:dyDescent="0.2">
      <c r="A240" s="316" t="s">
        <v>1132</v>
      </c>
      <c r="B240" s="311"/>
      <c r="C240" s="311"/>
      <c r="D240" s="311"/>
      <c r="E240" s="311"/>
      <c r="F240" s="311"/>
      <c r="G240" s="311"/>
      <c r="H240" s="311"/>
      <c r="I240" s="311"/>
      <c r="J240" s="311"/>
    </row>
    <row r="241" spans="1:10" x14ac:dyDescent="0.2">
      <c r="A241" s="317" t="s">
        <v>1133</v>
      </c>
      <c r="B241" s="317" t="s">
        <v>318</v>
      </c>
      <c r="C241" s="318">
        <v>43921</v>
      </c>
      <c r="D241" s="319" t="s">
        <v>1134</v>
      </c>
      <c r="E241" s="317" t="s">
        <v>1265</v>
      </c>
      <c r="F241" s="320" t="s">
        <v>1113</v>
      </c>
      <c r="G241" s="321">
        <v>6051</v>
      </c>
      <c r="H241" s="321"/>
      <c r="I241" s="322">
        <v>24.09</v>
      </c>
      <c r="J241" s="322"/>
    </row>
    <row r="242" spans="1:10" x14ac:dyDescent="0.2">
      <c r="A242" s="317" t="s">
        <v>1133</v>
      </c>
      <c r="B242" s="317" t="s">
        <v>318</v>
      </c>
      <c r="C242" s="318">
        <v>43921</v>
      </c>
      <c r="D242" s="319" t="s">
        <v>1134</v>
      </c>
      <c r="E242" s="317" t="s">
        <v>1266</v>
      </c>
      <c r="F242" s="320" t="s">
        <v>1113</v>
      </c>
      <c r="G242" s="321">
        <v>6051</v>
      </c>
      <c r="H242" s="321"/>
      <c r="I242" s="322">
        <v>39.99</v>
      </c>
      <c r="J242" s="322"/>
    </row>
    <row r="243" spans="1:10" x14ac:dyDescent="0.2">
      <c r="A243" s="317" t="s">
        <v>1110</v>
      </c>
      <c r="B243" s="317" t="s">
        <v>318</v>
      </c>
      <c r="C243" s="318">
        <v>43891</v>
      </c>
      <c r="D243" s="319" t="s">
        <v>1134</v>
      </c>
      <c r="E243" s="317" t="s">
        <v>1185</v>
      </c>
      <c r="F243" s="320" t="s">
        <v>1113</v>
      </c>
      <c r="G243" s="321">
        <v>5978</v>
      </c>
      <c r="H243" s="321"/>
      <c r="I243" s="322"/>
      <c r="J243" s="322">
        <v>10.1</v>
      </c>
    </row>
    <row r="244" spans="1:10" x14ac:dyDescent="0.2">
      <c r="A244" s="317" t="s">
        <v>1110</v>
      </c>
      <c r="B244" s="317" t="s">
        <v>318</v>
      </c>
      <c r="C244" s="318">
        <v>43891</v>
      </c>
      <c r="D244" s="319" t="s">
        <v>1134</v>
      </c>
      <c r="E244" s="317" t="s">
        <v>1185</v>
      </c>
      <c r="F244" s="320" t="s">
        <v>1113</v>
      </c>
      <c r="G244" s="321">
        <v>5978</v>
      </c>
      <c r="H244" s="321"/>
      <c r="I244" s="322"/>
      <c r="J244" s="322">
        <v>26</v>
      </c>
    </row>
    <row r="245" spans="1:10" x14ac:dyDescent="0.2">
      <c r="A245" s="317" t="s">
        <v>1110</v>
      </c>
      <c r="B245" s="317" t="s">
        <v>318</v>
      </c>
      <c r="C245" s="318">
        <v>43891</v>
      </c>
      <c r="D245" s="319" t="s">
        <v>293</v>
      </c>
      <c r="E245" s="317" t="s">
        <v>1214</v>
      </c>
      <c r="F245" s="320" t="s">
        <v>1113</v>
      </c>
      <c r="G245" s="321">
        <v>5992</v>
      </c>
      <c r="H245" s="321"/>
      <c r="I245" s="322"/>
      <c r="J245" s="322">
        <v>186.65</v>
      </c>
    </row>
    <row r="246" spans="1:10" x14ac:dyDescent="0.2">
      <c r="A246" s="317" t="s">
        <v>1110</v>
      </c>
      <c r="B246" s="317" t="s">
        <v>318</v>
      </c>
      <c r="C246" s="318">
        <v>43891</v>
      </c>
      <c r="D246" s="319" t="s">
        <v>293</v>
      </c>
      <c r="E246" s="317" t="s">
        <v>1197</v>
      </c>
      <c r="F246" s="320" t="s">
        <v>1113</v>
      </c>
      <c r="G246" s="321">
        <v>5992</v>
      </c>
      <c r="H246" s="321"/>
      <c r="I246" s="322"/>
      <c r="J246" s="322">
        <v>139.30000000000001</v>
      </c>
    </row>
    <row r="247" spans="1:10" x14ac:dyDescent="0.2">
      <c r="A247" s="317" t="s">
        <v>1110</v>
      </c>
      <c r="B247" s="317" t="s">
        <v>318</v>
      </c>
      <c r="C247" s="318">
        <v>43921</v>
      </c>
      <c r="D247" s="319" t="s">
        <v>293</v>
      </c>
      <c r="E247" s="317" t="s">
        <v>1136</v>
      </c>
      <c r="F247" s="320" t="s">
        <v>1113</v>
      </c>
      <c r="G247" s="321">
        <v>6048</v>
      </c>
      <c r="H247" s="321"/>
      <c r="I247" s="322">
        <v>415.65</v>
      </c>
      <c r="J247" s="322"/>
    </row>
    <row r="248" spans="1:10" x14ac:dyDescent="0.2">
      <c r="A248" s="317" t="s">
        <v>1110</v>
      </c>
      <c r="B248" s="317" t="s">
        <v>318</v>
      </c>
      <c r="C248" s="318">
        <v>43921</v>
      </c>
      <c r="D248" s="319" t="s">
        <v>293</v>
      </c>
      <c r="E248" s="317" t="s">
        <v>1214</v>
      </c>
      <c r="F248" s="320" t="s">
        <v>1113</v>
      </c>
      <c r="G248" s="321">
        <v>6047</v>
      </c>
      <c r="H248" s="321"/>
      <c r="I248" s="322">
        <v>186.65</v>
      </c>
      <c r="J248" s="322"/>
    </row>
    <row r="249" spans="1:10" x14ac:dyDescent="0.2">
      <c r="A249" s="317" t="s">
        <v>1110</v>
      </c>
      <c r="B249" s="317" t="s">
        <v>318</v>
      </c>
      <c r="C249" s="318">
        <v>43921</v>
      </c>
      <c r="D249" s="319" t="s">
        <v>293</v>
      </c>
      <c r="E249" s="317" t="s">
        <v>1197</v>
      </c>
      <c r="F249" s="320" t="s">
        <v>1113</v>
      </c>
      <c r="G249" s="321">
        <v>6047</v>
      </c>
      <c r="H249" s="321"/>
      <c r="I249" s="322">
        <v>139.30000000000001</v>
      </c>
      <c r="J249" s="322"/>
    </row>
    <row r="250" spans="1:10" x14ac:dyDescent="0.2">
      <c r="A250" s="317" t="s">
        <v>1110</v>
      </c>
      <c r="B250" s="317" t="s">
        <v>318</v>
      </c>
      <c r="C250" s="318">
        <v>43921</v>
      </c>
      <c r="D250" s="319" t="s">
        <v>1134</v>
      </c>
      <c r="E250" s="317" t="s">
        <v>1116</v>
      </c>
      <c r="F250" s="320" t="s">
        <v>1113</v>
      </c>
      <c r="G250" s="321">
        <v>6054</v>
      </c>
      <c r="H250" s="321"/>
      <c r="I250" s="322">
        <v>54</v>
      </c>
      <c r="J250" s="322"/>
    </row>
    <row r="251" spans="1:10" x14ac:dyDescent="0.2">
      <c r="A251" s="317" t="s">
        <v>1110</v>
      </c>
      <c r="B251" s="317" t="s">
        <v>318</v>
      </c>
      <c r="C251" s="318">
        <v>43921</v>
      </c>
      <c r="D251" s="319" t="s">
        <v>1134</v>
      </c>
      <c r="E251" s="317" t="s">
        <v>1267</v>
      </c>
      <c r="F251" s="320" t="s">
        <v>1113</v>
      </c>
      <c r="G251" s="321">
        <v>6051</v>
      </c>
      <c r="H251" s="321"/>
      <c r="I251" s="322">
        <v>15.22</v>
      </c>
      <c r="J251" s="322"/>
    </row>
    <row r="252" spans="1:10" x14ac:dyDescent="0.2">
      <c r="A252" s="317" t="s">
        <v>1110</v>
      </c>
      <c r="B252" s="317" t="s">
        <v>318</v>
      </c>
      <c r="C252" s="318">
        <v>43921</v>
      </c>
      <c r="D252" s="319" t="s">
        <v>1134</v>
      </c>
      <c r="E252" s="317" t="s">
        <v>1268</v>
      </c>
      <c r="F252" s="320" t="s">
        <v>1113</v>
      </c>
      <c r="G252" s="321">
        <v>6051</v>
      </c>
      <c r="H252" s="321"/>
      <c r="I252" s="322">
        <v>14.52</v>
      </c>
      <c r="J252" s="322"/>
    </row>
    <row r="253" spans="1:10" x14ac:dyDescent="0.2">
      <c r="A253" s="317" t="s">
        <v>1110</v>
      </c>
      <c r="B253" s="317" t="s">
        <v>318</v>
      </c>
      <c r="C253" s="318">
        <v>43921</v>
      </c>
      <c r="D253" s="319" t="s">
        <v>1134</v>
      </c>
      <c r="E253" s="317" t="s">
        <v>1268</v>
      </c>
      <c r="F253" s="320" t="s">
        <v>1113</v>
      </c>
      <c r="G253" s="321">
        <v>6051</v>
      </c>
      <c r="H253" s="321"/>
      <c r="I253" s="322">
        <v>14.52</v>
      </c>
      <c r="J253" s="322"/>
    </row>
    <row r="254" spans="1:10" x14ac:dyDescent="0.2">
      <c r="A254" s="317" t="s">
        <v>1110</v>
      </c>
      <c r="B254" s="317" t="s">
        <v>318</v>
      </c>
      <c r="C254" s="318">
        <v>43921</v>
      </c>
      <c r="D254" s="319" t="s">
        <v>1134</v>
      </c>
      <c r="E254" s="317" t="s">
        <v>1269</v>
      </c>
      <c r="F254" s="320" t="s">
        <v>1113</v>
      </c>
      <c r="G254" s="321">
        <v>6051</v>
      </c>
      <c r="H254" s="321"/>
      <c r="I254" s="322">
        <v>10.35</v>
      </c>
      <c r="J254" s="322"/>
    </row>
    <row r="255" spans="1:10" x14ac:dyDescent="0.2">
      <c r="A255" s="317" t="s">
        <v>1110</v>
      </c>
      <c r="B255" s="317" t="s">
        <v>318</v>
      </c>
      <c r="C255" s="318">
        <v>43921</v>
      </c>
      <c r="D255" s="319" t="s">
        <v>1134</v>
      </c>
      <c r="E255" s="317" t="s">
        <v>1140</v>
      </c>
      <c r="F255" s="320" t="s">
        <v>1113</v>
      </c>
      <c r="G255" s="321">
        <v>6051</v>
      </c>
      <c r="H255" s="321"/>
      <c r="I255" s="322"/>
      <c r="J255" s="322">
        <v>35.22</v>
      </c>
    </row>
    <row r="256" spans="1:10" x14ac:dyDescent="0.2">
      <c r="A256" s="317" t="s">
        <v>1110</v>
      </c>
      <c r="B256" s="317" t="s">
        <v>318</v>
      </c>
      <c r="C256" s="318">
        <v>43921</v>
      </c>
      <c r="D256" s="319" t="s">
        <v>1134</v>
      </c>
      <c r="E256" s="317" t="s">
        <v>1270</v>
      </c>
      <c r="F256" s="320" t="s">
        <v>1113</v>
      </c>
      <c r="G256" s="321">
        <v>6051</v>
      </c>
      <c r="H256" s="321"/>
      <c r="I256" s="322">
        <v>35.22</v>
      </c>
      <c r="J256" s="322"/>
    </row>
    <row r="257" spans="1:10" x14ac:dyDescent="0.2">
      <c r="A257" s="317" t="s">
        <v>1110</v>
      </c>
      <c r="B257" s="317" t="s">
        <v>318</v>
      </c>
      <c r="C257" s="318">
        <v>43921</v>
      </c>
      <c r="D257" s="319" t="s">
        <v>1134</v>
      </c>
      <c r="E257" s="317" t="s">
        <v>1271</v>
      </c>
      <c r="F257" s="320" t="s">
        <v>1113</v>
      </c>
      <c r="G257" s="321">
        <v>6051</v>
      </c>
      <c r="H257" s="321"/>
      <c r="I257" s="322">
        <v>14.52</v>
      </c>
      <c r="J257" s="322"/>
    </row>
    <row r="258" spans="1:10" x14ac:dyDescent="0.2">
      <c r="A258" s="317" t="s">
        <v>1110</v>
      </c>
      <c r="B258" s="317" t="s">
        <v>318</v>
      </c>
      <c r="C258" s="318">
        <v>43921</v>
      </c>
      <c r="D258" s="319" t="s">
        <v>1134</v>
      </c>
      <c r="E258" s="317" t="s">
        <v>1272</v>
      </c>
      <c r="F258" s="320" t="s">
        <v>1113</v>
      </c>
      <c r="G258" s="321">
        <v>6051</v>
      </c>
      <c r="H258" s="321"/>
      <c r="I258" s="322">
        <v>9.36</v>
      </c>
      <c r="J258" s="322"/>
    </row>
    <row r="259" spans="1:10" x14ac:dyDescent="0.2">
      <c r="A259" s="317" t="s">
        <v>1110</v>
      </c>
      <c r="B259" s="317" t="s">
        <v>318</v>
      </c>
      <c r="C259" s="318">
        <v>43921</v>
      </c>
      <c r="D259" s="319" t="s">
        <v>1134</v>
      </c>
      <c r="E259" s="317" t="s">
        <v>1273</v>
      </c>
      <c r="F259" s="320" t="s">
        <v>1113</v>
      </c>
      <c r="G259" s="321">
        <v>6051</v>
      </c>
      <c r="H259" s="321"/>
      <c r="I259" s="322">
        <v>15.22</v>
      </c>
      <c r="J259" s="322"/>
    </row>
    <row r="260" spans="1:10" x14ac:dyDescent="0.2">
      <c r="A260" s="317" t="s">
        <v>1110</v>
      </c>
      <c r="B260" s="317" t="s">
        <v>318</v>
      </c>
      <c r="C260" s="318">
        <v>43921</v>
      </c>
      <c r="D260" s="319" t="s">
        <v>1134</v>
      </c>
      <c r="E260" s="317" t="s">
        <v>1274</v>
      </c>
      <c r="F260" s="320" t="s">
        <v>1113</v>
      </c>
      <c r="G260" s="321">
        <v>6051</v>
      </c>
      <c r="H260" s="321"/>
      <c r="I260" s="322">
        <v>18.170000000000002</v>
      </c>
      <c r="J260" s="322"/>
    </row>
    <row r="261" spans="1:10" x14ac:dyDescent="0.2">
      <c r="A261" s="317" t="s">
        <v>1110</v>
      </c>
      <c r="B261" s="317" t="s">
        <v>318</v>
      </c>
      <c r="C261" s="318">
        <v>43921</v>
      </c>
      <c r="D261" s="319" t="s">
        <v>1134</v>
      </c>
      <c r="E261" s="317" t="s">
        <v>1273</v>
      </c>
      <c r="F261" s="320" t="s">
        <v>1113</v>
      </c>
      <c r="G261" s="321">
        <v>6051</v>
      </c>
      <c r="H261" s="321"/>
      <c r="I261" s="322">
        <v>21.74</v>
      </c>
      <c r="J261" s="322"/>
    </row>
    <row r="262" spans="1:10" x14ac:dyDescent="0.2">
      <c r="A262" s="317" t="s">
        <v>1110</v>
      </c>
      <c r="B262" s="317" t="s">
        <v>318</v>
      </c>
      <c r="C262" s="318">
        <v>43921</v>
      </c>
      <c r="D262" s="319" t="s">
        <v>1134</v>
      </c>
      <c r="E262" s="317" t="s">
        <v>1273</v>
      </c>
      <c r="F262" s="320" t="s">
        <v>1113</v>
      </c>
      <c r="G262" s="321">
        <v>6051</v>
      </c>
      <c r="H262" s="321"/>
      <c r="I262" s="322">
        <v>12.96</v>
      </c>
      <c r="J262" s="322"/>
    </row>
    <row r="263" spans="1:10" x14ac:dyDescent="0.2">
      <c r="A263" s="317" t="s">
        <v>1110</v>
      </c>
      <c r="B263" s="317" t="s">
        <v>318</v>
      </c>
      <c r="C263" s="318">
        <v>43921</v>
      </c>
      <c r="D263" s="319" t="s">
        <v>1134</v>
      </c>
      <c r="E263" s="317" t="s">
        <v>1275</v>
      </c>
      <c r="F263" s="320" t="s">
        <v>1113</v>
      </c>
      <c r="G263" s="321">
        <v>6051</v>
      </c>
      <c r="H263" s="321"/>
      <c r="I263" s="322">
        <v>24.78</v>
      </c>
      <c r="J263" s="322"/>
    </row>
    <row r="264" spans="1:10" x14ac:dyDescent="0.2">
      <c r="A264" s="317" t="s">
        <v>1110</v>
      </c>
      <c r="B264" s="317" t="s">
        <v>318</v>
      </c>
      <c r="C264" s="318">
        <v>43921</v>
      </c>
      <c r="D264" s="319" t="s">
        <v>1134</v>
      </c>
      <c r="E264" s="317" t="s">
        <v>1276</v>
      </c>
      <c r="F264" s="320" t="s">
        <v>1113</v>
      </c>
      <c r="G264" s="321">
        <v>6051</v>
      </c>
      <c r="H264" s="321"/>
      <c r="I264" s="322">
        <v>15.77</v>
      </c>
      <c r="J264" s="322"/>
    </row>
    <row r="265" spans="1:10" x14ac:dyDescent="0.2">
      <c r="A265" s="317" t="s">
        <v>1110</v>
      </c>
      <c r="B265" s="317" t="s">
        <v>318</v>
      </c>
      <c r="C265" s="318">
        <v>43921</v>
      </c>
      <c r="D265" s="319" t="s">
        <v>1134</v>
      </c>
      <c r="E265" s="317" t="s">
        <v>1277</v>
      </c>
      <c r="F265" s="320" t="s">
        <v>1113</v>
      </c>
      <c r="G265" s="321">
        <v>6051</v>
      </c>
      <c r="H265" s="321"/>
      <c r="I265" s="322">
        <v>15.22</v>
      </c>
      <c r="J265" s="322"/>
    </row>
    <row r="266" spans="1:10" x14ac:dyDescent="0.2">
      <c r="A266" s="317" t="s">
        <v>1110</v>
      </c>
      <c r="B266" s="317" t="s">
        <v>318</v>
      </c>
      <c r="C266" s="318">
        <v>43921</v>
      </c>
      <c r="D266" s="319" t="s">
        <v>1134</v>
      </c>
      <c r="E266" s="317" t="s">
        <v>1278</v>
      </c>
      <c r="F266" s="320" t="s">
        <v>1113</v>
      </c>
      <c r="G266" s="321">
        <v>6051</v>
      </c>
      <c r="H266" s="321"/>
      <c r="I266" s="322">
        <v>32.17</v>
      </c>
      <c r="J266" s="322"/>
    </row>
    <row r="267" spans="1:10" x14ac:dyDescent="0.2">
      <c r="A267" s="317" t="s">
        <v>1110</v>
      </c>
      <c r="B267" s="317" t="s">
        <v>318</v>
      </c>
      <c r="C267" s="318">
        <v>43921</v>
      </c>
      <c r="D267" s="319" t="s">
        <v>1134</v>
      </c>
      <c r="E267" s="317" t="s">
        <v>1277</v>
      </c>
      <c r="F267" s="320" t="s">
        <v>1113</v>
      </c>
      <c r="G267" s="321">
        <v>6051</v>
      </c>
      <c r="H267" s="321"/>
      <c r="I267" s="322">
        <v>13.04</v>
      </c>
      <c r="J267" s="322"/>
    </row>
    <row r="268" spans="1:10" x14ac:dyDescent="0.2">
      <c r="A268" s="317" t="s">
        <v>1110</v>
      </c>
      <c r="B268" s="317" t="s">
        <v>318</v>
      </c>
      <c r="C268" s="318">
        <v>43921</v>
      </c>
      <c r="D268" s="319" t="s">
        <v>1134</v>
      </c>
      <c r="E268" s="317" t="s">
        <v>1277</v>
      </c>
      <c r="F268" s="320" t="s">
        <v>1113</v>
      </c>
      <c r="G268" s="321">
        <v>6051</v>
      </c>
      <c r="H268" s="321"/>
      <c r="I268" s="322">
        <v>15.22</v>
      </c>
      <c r="J268" s="322"/>
    </row>
    <row r="269" spans="1:10" x14ac:dyDescent="0.2">
      <c r="A269" s="317" t="s">
        <v>1110</v>
      </c>
      <c r="B269" s="317" t="s">
        <v>318</v>
      </c>
      <c r="C269" s="318">
        <v>43921</v>
      </c>
      <c r="D269" s="319" t="s">
        <v>1134</v>
      </c>
      <c r="E269" s="317" t="s">
        <v>1278</v>
      </c>
      <c r="F269" s="320" t="s">
        <v>1113</v>
      </c>
      <c r="G269" s="321">
        <v>6051</v>
      </c>
      <c r="H269" s="321"/>
      <c r="I269" s="322">
        <v>28.17</v>
      </c>
      <c r="J269" s="322"/>
    </row>
    <row r="270" spans="1:10" x14ac:dyDescent="0.2">
      <c r="A270" s="317" t="s">
        <v>1110</v>
      </c>
      <c r="B270" s="317" t="s">
        <v>318</v>
      </c>
      <c r="C270" s="318">
        <v>43921</v>
      </c>
      <c r="D270" s="319" t="s">
        <v>1134</v>
      </c>
      <c r="E270" s="317" t="s">
        <v>1277</v>
      </c>
      <c r="F270" s="320" t="s">
        <v>1113</v>
      </c>
      <c r="G270" s="321">
        <v>6051</v>
      </c>
      <c r="H270" s="321"/>
      <c r="I270" s="322">
        <v>13.91</v>
      </c>
      <c r="J270" s="322"/>
    </row>
    <row r="271" spans="1:10" x14ac:dyDescent="0.2">
      <c r="A271" s="317" t="s">
        <v>1110</v>
      </c>
      <c r="B271" s="317" t="s">
        <v>318</v>
      </c>
      <c r="C271" s="318">
        <v>43921</v>
      </c>
      <c r="D271" s="319" t="s">
        <v>1134</v>
      </c>
      <c r="E271" s="317" t="s">
        <v>1277</v>
      </c>
      <c r="F271" s="320" t="s">
        <v>1113</v>
      </c>
      <c r="G271" s="321">
        <v>6051</v>
      </c>
      <c r="H271" s="321"/>
      <c r="I271" s="322">
        <v>10.43</v>
      </c>
      <c r="J271" s="322"/>
    </row>
    <row r="272" spans="1:10" x14ac:dyDescent="0.2">
      <c r="A272" s="317" t="s">
        <v>1110</v>
      </c>
      <c r="B272" s="317" t="s">
        <v>318</v>
      </c>
      <c r="C272" s="318">
        <v>43921</v>
      </c>
      <c r="D272" s="319" t="s">
        <v>1134</v>
      </c>
      <c r="E272" s="317" t="s">
        <v>1277</v>
      </c>
      <c r="F272" s="320" t="s">
        <v>1113</v>
      </c>
      <c r="G272" s="321">
        <v>6051</v>
      </c>
      <c r="H272" s="321"/>
      <c r="I272" s="322">
        <v>14.78</v>
      </c>
      <c r="J272" s="322"/>
    </row>
    <row r="273" spans="1:10" x14ac:dyDescent="0.2">
      <c r="A273" s="317" t="s">
        <v>1110</v>
      </c>
      <c r="B273" s="317" t="s">
        <v>318</v>
      </c>
      <c r="C273" s="318">
        <v>43921</v>
      </c>
      <c r="D273" s="319" t="s">
        <v>1134</v>
      </c>
      <c r="E273" s="317" t="s">
        <v>1279</v>
      </c>
      <c r="F273" s="320" t="s">
        <v>1113</v>
      </c>
      <c r="G273" s="321">
        <v>6051</v>
      </c>
      <c r="H273" s="321"/>
      <c r="I273" s="322">
        <v>12.22</v>
      </c>
      <c r="J273" s="322"/>
    </row>
    <row r="274" spans="1:10" x14ac:dyDescent="0.2">
      <c r="A274" s="317" t="s">
        <v>1110</v>
      </c>
      <c r="B274" s="317" t="s">
        <v>318</v>
      </c>
      <c r="C274" s="318">
        <v>43921</v>
      </c>
      <c r="D274" s="319" t="s">
        <v>1134</v>
      </c>
      <c r="E274" s="317" t="s">
        <v>1277</v>
      </c>
      <c r="F274" s="320" t="s">
        <v>1113</v>
      </c>
      <c r="G274" s="321">
        <v>6051</v>
      </c>
      <c r="H274" s="321"/>
      <c r="I274" s="322">
        <v>14.78</v>
      </c>
      <c r="J274" s="322"/>
    </row>
    <row r="275" spans="1:10" x14ac:dyDescent="0.2">
      <c r="A275" s="317" t="s">
        <v>1110</v>
      </c>
      <c r="B275" s="317" t="s">
        <v>318</v>
      </c>
      <c r="C275" s="318">
        <v>43921</v>
      </c>
      <c r="D275" s="319" t="s">
        <v>1134</v>
      </c>
      <c r="E275" s="317" t="s">
        <v>1278</v>
      </c>
      <c r="F275" s="320" t="s">
        <v>1113</v>
      </c>
      <c r="G275" s="321">
        <v>6051</v>
      </c>
      <c r="H275" s="321"/>
      <c r="I275" s="322">
        <v>35.909999999999997</v>
      </c>
      <c r="J275" s="322"/>
    </row>
    <row r="276" spans="1:10" x14ac:dyDescent="0.2">
      <c r="A276" s="317" t="s">
        <v>1110</v>
      </c>
      <c r="B276" s="317" t="s">
        <v>318</v>
      </c>
      <c r="C276" s="318">
        <v>43921</v>
      </c>
      <c r="D276" s="319" t="s">
        <v>1134</v>
      </c>
      <c r="E276" s="317" t="s">
        <v>1280</v>
      </c>
      <c r="F276" s="320" t="s">
        <v>1113</v>
      </c>
      <c r="G276" s="321">
        <v>6051</v>
      </c>
      <c r="H276" s="321"/>
      <c r="I276" s="322">
        <v>31.3</v>
      </c>
      <c r="J276" s="322"/>
    </row>
    <row r="277" spans="1:10" x14ac:dyDescent="0.2">
      <c r="A277" s="317" t="s">
        <v>1110</v>
      </c>
      <c r="B277" s="317" t="s">
        <v>318</v>
      </c>
      <c r="C277" s="318">
        <v>43921</v>
      </c>
      <c r="D277" s="319" t="s">
        <v>1134</v>
      </c>
      <c r="E277" s="317" t="s">
        <v>1281</v>
      </c>
      <c r="F277" s="320" t="s">
        <v>1113</v>
      </c>
      <c r="G277" s="321">
        <v>6051</v>
      </c>
      <c r="H277" s="321"/>
      <c r="I277" s="322">
        <v>14.78</v>
      </c>
      <c r="J277" s="322"/>
    </row>
    <row r="278" spans="1:10" x14ac:dyDescent="0.2">
      <c r="A278" s="317" t="s">
        <v>1110</v>
      </c>
      <c r="B278" s="317" t="s">
        <v>318</v>
      </c>
      <c r="C278" s="318">
        <v>43921</v>
      </c>
      <c r="D278" s="319" t="s">
        <v>1134</v>
      </c>
      <c r="E278" s="317" t="s">
        <v>1278</v>
      </c>
      <c r="F278" s="320" t="s">
        <v>1113</v>
      </c>
      <c r="G278" s="321">
        <v>6051</v>
      </c>
      <c r="H278" s="321"/>
      <c r="I278" s="322">
        <v>25.22</v>
      </c>
      <c r="J278" s="322"/>
    </row>
    <row r="279" spans="1:10" x14ac:dyDescent="0.2">
      <c r="A279" s="317" t="s">
        <v>1110</v>
      </c>
      <c r="B279" s="317" t="s">
        <v>318</v>
      </c>
      <c r="C279" s="318">
        <v>43921</v>
      </c>
      <c r="D279" s="319" t="s">
        <v>1134</v>
      </c>
      <c r="E279" s="317" t="s">
        <v>1282</v>
      </c>
      <c r="F279" s="320" t="s">
        <v>1113</v>
      </c>
      <c r="G279" s="321">
        <v>6051</v>
      </c>
      <c r="H279" s="321"/>
      <c r="I279" s="322">
        <v>12.83</v>
      </c>
      <c r="J279" s="322"/>
    </row>
    <row r="280" spans="1:10" x14ac:dyDescent="0.2">
      <c r="A280" s="317" t="s">
        <v>1110</v>
      </c>
      <c r="B280" s="317" t="s">
        <v>318</v>
      </c>
      <c r="C280" s="318">
        <v>43921</v>
      </c>
      <c r="D280" s="319" t="s">
        <v>1134</v>
      </c>
      <c r="E280" s="317" t="s">
        <v>1281</v>
      </c>
      <c r="F280" s="320" t="s">
        <v>1113</v>
      </c>
      <c r="G280" s="321">
        <v>6051</v>
      </c>
      <c r="H280" s="321"/>
      <c r="I280" s="322">
        <v>19.48</v>
      </c>
      <c r="J280" s="322"/>
    </row>
    <row r="281" spans="1:10" x14ac:dyDescent="0.2">
      <c r="A281" s="317" t="s">
        <v>1110</v>
      </c>
      <c r="B281" s="317" t="s">
        <v>318</v>
      </c>
      <c r="C281" s="318">
        <v>43921</v>
      </c>
      <c r="D281" s="319" t="s">
        <v>1134</v>
      </c>
      <c r="E281" s="317" t="s">
        <v>1281</v>
      </c>
      <c r="F281" s="320" t="s">
        <v>1113</v>
      </c>
      <c r="G281" s="321">
        <v>6051</v>
      </c>
      <c r="H281" s="321"/>
      <c r="I281" s="322">
        <v>14.78</v>
      </c>
      <c r="J281" s="322"/>
    </row>
    <row r="282" spans="1:10" x14ac:dyDescent="0.2">
      <c r="A282" s="317" t="s">
        <v>1110</v>
      </c>
      <c r="B282" s="317" t="s">
        <v>318</v>
      </c>
      <c r="C282" s="318">
        <v>43921</v>
      </c>
      <c r="D282" s="319" t="s">
        <v>1134</v>
      </c>
      <c r="E282" s="317" t="s">
        <v>1281</v>
      </c>
      <c r="F282" s="320" t="s">
        <v>1113</v>
      </c>
      <c r="G282" s="321">
        <v>6051</v>
      </c>
      <c r="H282" s="321"/>
      <c r="I282" s="322">
        <v>31.3</v>
      </c>
      <c r="J282" s="322"/>
    </row>
    <row r="283" spans="1:10" x14ac:dyDescent="0.2">
      <c r="A283" s="317" t="s">
        <v>1110</v>
      </c>
      <c r="B283" s="317" t="s">
        <v>318</v>
      </c>
      <c r="C283" s="318">
        <v>43921</v>
      </c>
      <c r="D283" s="319" t="s">
        <v>1134</v>
      </c>
      <c r="E283" s="317" t="s">
        <v>1283</v>
      </c>
      <c r="F283" s="320" t="s">
        <v>1113</v>
      </c>
      <c r="G283" s="321">
        <v>6051</v>
      </c>
      <c r="H283" s="321"/>
      <c r="I283" s="322">
        <v>181.74</v>
      </c>
      <c r="J283" s="322"/>
    </row>
    <row r="284" spans="1:10" x14ac:dyDescent="0.2">
      <c r="A284" s="317" t="s">
        <v>1110</v>
      </c>
      <c r="B284" s="317" t="s">
        <v>318</v>
      </c>
      <c r="C284" s="318">
        <v>43921</v>
      </c>
      <c r="D284" s="319" t="s">
        <v>1134</v>
      </c>
      <c r="E284" s="317" t="s">
        <v>1281</v>
      </c>
      <c r="F284" s="320" t="s">
        <v>1113</v>
      </c>
      <c r="G284" s="321">
        <v>6051</v>
      </c>
      <c r="H284" s="321"/>
      <c r="I284" s="322">
        <v>14</v>
      </c>
      <c r="J284" s="322"/>
    </row>
    <row r="285" spans="1:10" x14ac:dyDescent="0.2">
      <c r="A285" s="317" t="s">
        <v>1110</v>
      </c>
      <c r="B285" s="317" t="s">
        <v>318</v>
      </c>
      <c r="C285" s="318">
        <v>43921</v>
      </c>
      <c r="D285" s="319" t="s">
        <v>1134</v>
      </c>
      <c r="E285" s="317" t="s">
        <v>1284</v>
      </c>
      <c r="F285" s="320" t="s">
        <v>1113</v>
      </c>
      <c r="G285" s="321">
        <v>6051</v>
      </c>
      <c r="H285" s="321"/>
      <c r="I285" s="322">
        <v>11.3</v>
      </c>
      <c r="J285" s="322"/>
    </row>
    <row r="286" spans="1:10" x14ac:dyDescent="0.2">
      <c r="A286" s="317" t="s">
        <v>1110</v>
      </c>
      <c r="B286" s="317" t="s">
        <v>318</v>
      </c>
      <c r="C286" s="318">
        <v>43921</v>
      </c>
      <c r="D286" s="319" t="s">
        <v>1134</v>
      </c>
      <c r="E286" s="317" t="s">
        <v>1281</v>
      </c>
      <c r="F286" s="320" t="s">
        <v>1113</v>
      </c>
      <c r="G286" s="321">
        <v>6051</v>
      </c>
      <c r="H286" s="321"/>
      <c r="I286" s="322">
        <v>14.26</v>
      </c>
      <c r="J286" s="322"/>
    </row>
    <row r="287" spans="1:10" x14ac:dyDescent="0.2">
      <c r="A287" s="317" t="s">
        <v>1110</v>
      </c>
      <c r="B287" s="317" t="s">
        <v>318</v>
      </c>
      <c r="C287" s="318">
        <v>43921</v>
      </c>
      <c r="D287" s="319" t="s">
        <v>1134</v>
      </c>
      <c r="E287" s="317" t="s">
        <v>1281</v>
      </c>
      <c r="F287" s="320" t="s">
        <v>1113</v>
      </c>
      <c r="G287" s="321">
        <v>6051</v>
      </c>
      <c r="H287" s="321"/>
      <c r="I287" s="322">
        <v>15.13</v>
      </c>
      <c r="J287" s="322"/>
    </row>
    <row r="288" spans="1:10" x14ac:dyDescent="0.2">
      <c r="A288" s="317" t="s">
        <v>1110</v>
      </c>
      <c r="B288" s="317" t="s">
        <v>318</v>
      </c>
      <c r="C288" s="318">
        <v>43921</v>
      </c>
      <c r="D288" s="319" t="s">
        <v>1134</v>
      </c>
      <c r="E288" s="317" t="s">
        <v>1281</v>
      </c>
      <c r="F288" s="320" t="s">
        <v>1113</v>
      </c>
      <c r="G288" s="321">
        <v>6051</v>
      </c>
      <c r="H288" s="321"/>
      <c r="I288" s="322">
        <v>15.22</v>
      </c>
      <c r="J288" s="322"/>
    </row>
    <row r="289" spans="1:12" x14ac:dyDescent="0.2">
      <c r="A289" s="317" t="s">
        <v>1110</v>
      </c>
      <c r="B289" s="317" t="s">
        <v>318</v>
      </c>
      <c r="C289" s="318">
        <v>43921</v>
      </c>
      <c r="D289" s="319" t="s">
        <v>1134</v>
      </c>
      <c r="E289" s="317" t="s">
        <v>1281</v>
      </c>
      <c r="F289" s="320" t="s">
        <v>1113</v>
      </c>
      <c r="G289" s="321">
        <v>6051</v>
      </c>
      <c r="H289" s="321"/>
      <c r="I289" s="322">
        <v>14.17</v>
      </c>
      <c r="J289" s="322"/>
    </row>
    <row r="290" spans="1:12" x14ac:dyDescent="0.2">
      <c r="A290" s="317" t="s">
        <v>1110</v>
      </c>
      <c r="B290" s="317" t="s">
        <v>318</v>
      </c>
      <c r="C290" s="318">
        <v>43921</v>
      </c>
      <c r="D290" s="319" t="s">
        <v>1134</v>
      </c>
      <c r="E290" s="317" t="s">
        <v>1285</v>
      </c>
      <c r="F290" s="320" t="s">
        <v>1113</v>
      </c>
      <c r="G290" s="321">
        <v>6051</v>
      </c>
      <c r="H290" s="321"/>
      <c r="I290" s="322">
        <v>43.91</v>
      </c>
      <c r="J290" s="322"/>
    </row>
    <row r="291" spans="1:12" x14ac:dyDescent="0.2">
      <c r="A291" s="317" t="s">
        <v>1110</v>
      </c>
      <c r="B291" s="317" t="s">
        <v>318</v>
      </c>
      <c r="C291" s="318">
        <v>43921</v>
      </c>
      <c r="D291" s="319" t="s">
        <v>1134</v>
      </c>
      <c r="E291" s="317" t="s">
        <v>1281</v>
      </c>
      <c r="F291" s="320" t="s">
        <v>1113</v>
      </c>
      <c r="G291" s="321">
        <v>6051</v>
      </c>
      <c r="H291" s="321"/>
      <c r="I291" s="322">
        <v>6.26</v>
      </c>
      <c r="J291" s="322"/>
    </row>
    <row r="292" spans="1:12" x14ac:dyDescent="0.2">
      <c r="A292" s="317" t="s">
        <v>1110</v>
      </c>
      <c r="B292" s="317" t="s">
        <v>318</v>
      </c>
      <c r="C292" s="318">
        <v>43921</v>
      </c>
      <c r="D292" s="319" t="s">
        <v>1134</v>
      </c>
      <c r="E292" s="317" t="s">
        <v>1285</v>
      </c>
      <c r="F292" s="320" t="s">
        <v>1113</v>
      </c>
      <c r="G292" s="321">
        <v>6051</v>
      </c>
      <c r="H292" s="321"/>
      <c r="I292" s="322">
        <v>12.52</v>
      </c>
      <c r="J292" s="322"/>
    </row>
    <row r="293" spans="1:12" x14ac:dyDescent="0.2">
      <c r="A293" s="317" t="s">
        <v>1110</v>
      </c>
      <c r="B293" s="317" t="s">
        <v>318</v>
      </c>
      <c r="C293" s="318">
        <v>43921</v>
      </c>
      <c r="D293" s="319" t="s">
        <v>1134</v>
      </c>
      <c r="E293" s="317" t="s">
        <v>1286</v>
      </c>
      <c r="F293" s="320" t="s">
        <v>1113</v>
      </c>
      <c r="G293" s="321">
        <v>6051</v>
      </c>
      <c r="H293" s="321"/>
      <c r="I293" s="322">
        <v>69.569999999999993</v>
      </c>
      <c r="J293" s="322"/>
    </row>
    <row r="294" spans="1:12" x14ac:dyDescent="0.2">
      <c r="A294" s="317" t="s">
        <v>1110</v>
      </c>
      <c r="B294" s="317" t="s">
        <v>318</v>
      </c>
      <c r="C294" s="318">
        <v>43921</v>
      </c>
      <c r="D294" s="319" t="s">
        <v>1134</v>
      </c>
      <c r="E294" s="317" t="s">
        <v>1281</v>
      </c>
      <c r="F294" s="320" t="s">
        <v>1113</v>
      </c>
      <c r="G294" s="321">
        <v>6051</v>
      </c>
      <c r="H294" s="321"/>
      <c r="I294" s="322">
        <v>11.04</v>
      </c>
      <c r="J294" s="322"/>
    </row>
    <row r="295" spans="1:12" x14ac:dyDescent="0.2">
      <c r="A295" s="317" t="s">
        <v>1110</v>
      </c>
      <c r="B295" s="317" t="s">
        <v>318</v>
      </c>
      <c r="C295" s="318">
        <v>43921</v>
      </c>
      <c r="D295" s="319" t="s">
        <v>1134</v>
      </c>
      <c r="E295" s="317" t="s">
        <v>1281</v>
      </c>
      <c r="F295" s="320" t="s">
        <v>1113</v>
      </c>
      <c r="G295" s="321">
        <v>6051</v>
      </c>
      <c r="H295" s="321"/>
      <c r="I295" s="322">
        <v>13.57</v>
      </c>
      <c r="J295" s="322"/>
    </row>
    <row r="296" spans="1:12" x14ac:dyDescent="0.2">
      <c r="A296" s="317" t="s">
        <v>1110</v>
      </c>
      <c r="B296" s="317" t="s">
        <v>318</v>
      </c>
      <c r="C296" s="318">
        <v>43921</v>
      </c>
      <c r="D296" s="319" t="s">
        <v>1134</v>
      </c>
      <c r="E296" s="317" t="s">
        <v>1281</v>
      </c>
      <c r="F296" s="320" t="s">
        <v>1113</v>
      </c>
      <c r="G296" s="321">
        <v>6051</v>
      </c>
      <c r="H296" s="321"/>
      <c r="I296" s="322">
        <v>13.04</v>
      </c>
      <c r="J296" s="322"/>
    </row>
    <row r="297" spans="1:12" x14ac:dyDescent="0.2">
      <c r="A297" s="317" t="s">
        <v>1110</v>
      </c>
      <c r="B297" s="317" t="s">
        <v>318</v>
      </c>
      <c r="C297" s="318">
        <v>43921</v>
      </c>
      <c r="D297" s="319" t="s">
        <v>1134</v>
      </c>
      <c r="E297" s="317" t="s">
        <v>1285</v>
      </c>
      <c r="F297" s="320" t="s">
        <v>1113</v>
      </c>
      <c r="G297" s="321">
        <v>6051</v>
      </c>
      <c r="H297" s="321"/>
      <c r="I297" s="322">
        <v>47.97</v>
      </c>
      <c r="J297" s="322"/>
    </row>
    <row r="298" spans="1:12" x14ac:dyDescent="0.2">
      <c r="A298" s="317" t="s">
        <v>1110</v>
      </c>
      <c r="B298" s="317" t="s">
        <v>318</v>
      </c>
      <c r="C298" s="318">
        <v>43921</v>
      </c>
      <c r="D298" s="319" t="s">
        <v>1134</v>
      </c>
      <c r="E298" s="317" t="s">
        <v>1285</v>
      </c>
      <c r="F298" s="320" t="s">
        <v>1113</v>
      </c>
      <c r="G298" s="321">
        <v>6051</v>
      </c>
      <c r="H298" s="321"/>
      <c r="I298" s="322">
        <v>15.65</v>
      </c>
      <c r="J298" s="322"/>
    </row>
    <row r="299" spans="1:12" x14ac:dyDescent="0.2">
      <c r="A299" s="317" t="s">
        <v>1110</v>
      </c>
      <c r="B299" s="317" t="s">
        <v>318</v>
      </c>
      <c r="C299" s="318">
        <v>43921</v>
      </c>
      <c r="D299" s="319" t="s">
        <v>1134</v>
      </c>
      <c r="E299" s="317" t="s">
        <v>1281</v>
      </c>
      <c r="F299" s="320" t="s">
        <v>1113</v>
      </c>
      <c r="G299" s="321">
        <v>6051</v>
      </c>
      <c r="H299" s="321"/>
      <c r="I299" s="322">
        <v>11.48</v>
      </c>
      <c r="J299" s="322"/>
    </row>
    <row r="300" spans="1:12" x14ac:dyDescent="0.2">
      <c r="A300" s="317" t="s">
        <v>1110</v>
      </c>
      <c r="B300" s="317" t="s">
        <v>318</v>
      </c>
      <c r="C300" s="318">
        <v>43921</v>
      </c>
      <c r="D300" s="319" t="s">
        <v>1134</v>
      </c>
      <c r="E300" s="317" t="s">
        <v>1140</v>
      </c>
      <c r="F300" s="320" t="s">
        <v>1113</v>
      </c>
      <c r="G300" s="321">
        <v>6051</v>
      </c>
      <c r="H300" s="321"/>
      <c r="I300" s="322">
        <v>22.61</v>
      </c>
      <c r="J300" s="322"/>
    </row>
    <row r="301" spans="1:12" x14ac:dyDescent="0.2">
      <c r="A301" s="317" t="s">
        <v>1110</v>
      </c>
      <c r="B301" s="317" t="s">
        <v>318</v>
      </c>
      <c r="C301" s="318">
        <v>43921</v>
      </c>
      <c r="D301" s="319" t="s">
        <v>1134</v>
      </c>
      <c r="E301" s="317" t="s">
        <v>1140</v>
      </c>
      <c r="F301" s="320" t="s">
        <v>1113</v>
      </c>
      <c r="G301" s="321">
        <v>6051</v>
      </c>
      <c r="H301" s="321"/>
      <c r="I301" s="322">
        <v>8.7799999999999994</v>
      </c>
      <c r="J301" s="322"/>
    </row>
    <row r="302" spans="1:12" x14ac:dyDescent="0.2">
      <c r="A302" s="306"/>
      <c r="B302" s="306"/>
      <c r="C302" s="306"/>
      <c r="D302" s="306"/>
      <c r="E302" s="306"/>
      <c r="F302" s="306"/>
      <c r="G302" s="306"/>
      <c r="H302" s="306"/>
      <c r="I302" s="323">
        <v>1979.7900000000002</v>
      </c>
      <c r="J302" s="323">
        <v>397.27</v>
      </c>
      <c r="L302" s="406">
        <f>I302-J302</f>
        <v>1582.5200000000002</v>
      </c>
    </row>
    <row r="303" spans="1:12" x14ac:dyDescent="0.2">
      <c r="A303" s="306"/>
      <c r="B303" s="306"/>
      <c r="C303" s="306"/>
      <c r="D303" s="306"/>
      <c r="E303" s="306"/>
      <c r="F303" s="306"/>
      <c r="G303" s="306"/>
      <c r="H303" s="306"/>
      <c r="I303" s="306"/>
      <c r="J303" s="306"/>
    </row>
    <row r="304" spans="1:12" x14ac:dyDescent="0.2">
      <c r="A304" s="316" t="s">
        <v>1143</v>
      </c>
      <c r="B304" s="311"/>
      <c r="C304" s="311"/>
      <c r="D304" s="311"/>
      <c r="E304" s="311"/>
      <c r="F304" s="311"/>
      <c r="G304" s="311"/>
      <c r="H304" s="311"/>
      <c r="I304" s="311"/>
      <c r="J304" s="311"/>
    </row>
    <row r="305" spans="1:10" x14ac:dyDescent="0.2">
      <c r="A305" s="317" t="s">
        <v>1133</v>
      </c>
      <c r="B305" s="317" t="s">
        <v>318</v>
      </c>
      <c r="C305" s="318">
        <v>43921</v>
      </c>
      <c r="D305" s="319" t="s">
        <v>1134</v>
      </c>
      <c r="E305" s="317" t="s">
        <v>1116</v>
      </c>
      <c r="F305" s="320" t="s">
        <v>1113</v>
      </c>
      <c r="G305" s="321">
        <v>6054</v>
      </c>
      <c r="H305" s="321"/>
      <c r="I305" s="322">
        <v>36.590000000000003</v>
      </c>
      <c r="J305" s="322"/>
    </row>
    <row r="306" spans="1:10" x14ac:dyDescent="0.2">
      <c r="A306" s="317" t="s">
        <v>1133</v>
      </c>
      <c r="B306" s="317" t="s">
        <v>318</v>
      </c>
      <c r="C306" s="318">
        <v>43921</v>
      </c>
      <c r="D306" s="319" t="s">
        <v>1134</v>
      </c>
      <c r="E306" s="317" t="s">
        <v>1287</v>
      </c>
      <c r="F306" s="320" t="s">
        <v>1113</v>
      </c>
      <c r="G306" s="321">
        <v>6051</v>
      </c>
      <c r="H306" s="321"/>
      <c r="I306" s="322">
        <v>8.77</v>
      </c>
      <c r="J306" s="322"/>
    </row>
    <row r="307" spans="1:10" x14ac:dyDescent="0.2">
      <c r="A307" s="317" t="s">
        <v>1133</v>
      </c>
      <c r="B307" s="317" t="s">
        <v>318</v>
      </c>
      <c r="C307" s="318">
        <v>43921</v>
      </c>
      <c r="D307" s="319" t="s">
        <v>1134</v>
      </c>
      <c r="E307" s="317" t="s">
        <v>1288</v>
      </c>
      <c r="F307" s="320" t="s">
        <v>1113</v>
      </c>
      <c r="G307" s="321">
        <v>6051</v>
      </c>
      <c r="H307" s="321"/>
      <c r="I307" s="322">
        <v>9.27</v>
      </c>
      <c r="J307" s="322"/>
    </row>
    <row r="308" spans="1:10" x14ac:dyDescent="0.2">
      <c r="A308" s="317" t="s">
        <v>1133</v>
      </c>
      <c r="B308" s="317" t="s">
        <v>318</v>
      </c>
      <c r="C308" s="318">
        <v>43921</v>
      </c>
      <c r="D308" s="319" t="s">
        <v>1134</v>
      </c>
      <c r="E308" s="317" t="s">
        <v>1289</v>
      </c>
      <c r="F308" s="320" t="s">
        <v>1113</v>
      </c>
      <c r="G308" s="321">
        <v>6051</v>
      </c>
      <c r="H308" s="321"/>
      <c r="I308" s="322">
        <v>8.76</v>
      </c>
      <c r="J308" s="322"/>
    </row>
    <row r="309" spans="1:10" x14ac:dyDescent="0.2">
      <c r="A309" s="317" t="s">
        <v>1133</v>
      </c>
      <c r="B309" s="317" t="s">
        <v>318</v>
      </c>
      <c r="C309" s="318">
        <v>43921</v>
      </c>
      <c r="D309" s="319" t="s">
        <v>1134</v>
      </c>
      <c r="E309" s="317" t="s">
        <v>1290</v>
      </c>
      <c r="F309" s="320" t="s">
        <v>1113</v>
      </c>
      <c r="G309" s="321">
        <v>6051</v>
      </c>
      <c r="H309" s="321"/>
      <c r="I309" s="322">
        <v>20.149999999999999</v>
      </c>
      <c r="J309" s="322"/>
    </row>
    <row r="310" spans="1:10" x14ac:dyDescent="0.2">
      <c r="A310" s="317" t="s">
        <v>1133</v>
      </c>
      <c r="B310" s="317" t="s">
        <v>318</v>
      </c>
      <c r="C310" s="318">
        <v>43921</v>
      </c>
      <c r="D310" s="319" t="s">
        <v>1134</v>
      </c>
      <c r="E310" s="317" t="s">
        <v>1291</v>
      </c>
      <c r="F310" s="320" t="s">
        <v>1113</v>
      </c>
      <c r="G310" s="321">
        <v>6051</v>
      </c>
      <c r="H310" s="321"/>
      <c r="I310" s="322">
        <v>18.170000000000002</v>
      </c>
      <c r="J310" s="322"/>
    </row>
    <row r="311" spans="1:10" x14ac:dyDescent="0.2">
      <c r="A311" s="317" t="s">
        <v>1110</v>
      </c>
      <c r="B311" s="317" t="s">
        <v>318</v>
      </c>
      <c r="C311" s="318">
        <v>43891</v>
      </c>
      <c r="D311" s="319" t="s">
        <v>1134</v>
      </c>
      <c r="E311" s="317" t="s">
        <v>1185</v>
      </c>
      <c r="F311" s="320" t="s">
        <v>1113</v>
      </c>
      <c r="G311" s="321">
        <v>5978</v>
      </c>
      <c r="H311" s="321"/>
      <c r="I311" s="322"/>
      <c r="J311" s="322">
        <v>21.45</v>
      </c>
    </row>
    <row r="312" spans="1:10" s="194" customFormat="1" x14ac:dyDescent="0.2">
      <c r="A312" s="357" t="s">
        <v>1110</v>
      </c>
      <c r="B312" s="357" t="s">
        <v>318</v>
      </c>
      <c r="C312" s="358">
        <v>43891</v>
      </c>
      <c r="D312" s="359" t="s">
        <v>1221</v>
      </c>
      <c r="E312" s="357" t="s">
        <v>1225</v>
      </c>
      <c r="F312" s="360" t="s">
        <v>1113</v>
      </c>
      <c r="G312" s="361">
        <v>5989</v>
      </c>
      <c r="H312" s="361"/>
      <c r="I312" s="362"/>
      <c r="J312" s="362">
        <v>9.57</v>
      </c>
    </row>
    <row r="313" spans="1:10" s="194" customFormat="1" x14ac:dyDescent="0.2">
      <c r="A313" s="357" t="s">
        <v>1110</v>
      </c>
      <c r="B313" s="357" t="s">
        <v>318</v>
      </c>
      <c r="C313" s="358">
        <v>43921</v>
      </c>
      <c r="D313" s="359" t="s">
        <v>293</v>
      </c>
      <c r="E313" s="357" t="s">
        <v>1225</v>
      </c>
      <c r="F313" s="360" t="s">
        <v>1113</v>
      </c>
      <c r="G313" s="361">
        <v>6040</v>
      </c>
      <c r="H313" s="361"/>
      <c r="I313" s="362">
        <v>9.57</v>
      </c>
      <c r="J313" s="362"/>
    </row>
    <row r="314" spans="1:10" x14ac:dyDescent="0.2">
      <c r="A314" s="317" t="s">
        <v>1110</v>
      </c>
      <c r="B314" s="317" t="s">
        <v>318</v>
      </c>
      <c r="C314" s="318">
        <v>43921</v>
      </c>
      <c r="D314" s="319" t="s">
        <v>1134</v>
      </c>
      <c r="E314" s="317" t="s">
        <v>1292</v>
      </c>
      <c r="F314" s="320" t="s">
        <v>1113</v>
      </c>
      <c r="G314" s="321">
        <v>6051</v>
      </c>
      <c r="H314" s="321"/>
      <c r="I314" s="322">
        <v>9.8699999999999992</v>
      </c>
      <c r="J314" s="322"/>
    </row>
    <row r="315" spans="1:10" x14ac:dyDescent="0.2">
      <c r="A315" s="317" t="s">
        <v>1110</v>
      </c>
      <c r="B315" s="317" t="s">
        <v>318</v>
      </c>
      <c r="C315" s="318">
        <v>43921</v>
      </c>
      <c r="D315" s="319" t="s">
        <v>1134</v>
      </c>
      <c r="E315" s="317" t="s">
        <v>1293</v>
      </c>
      <c r="F315" s="320" t="s">
        <v>1113</v>
      </c>
      <c r="G315" s="321">
        <v>6051</v>
      </c>
      <c r="H315" s="321"/>
      <c r="I315" s="322">
        <v>5.04</v>
      </c>
      <c r="J315" s="322"/>
    </row>
    <row r="316" spans="1:10" x14ac:dyDescent="0.2">
      <c r="A316" s="317" t="s">
        <v>1110</v>
      </c>
      <c r="B316" s="317" t="s">
        <v>318</v>
      </c>
      <c r="C316" s="318">
        <v>43921</v>
      </c>
      <c r="D316" s="319" t="s">
        <v>1134</v>
      </c>
      <c r="E316" s="317" t="s">
        <v>1291</v>
      </c>
      <c r="F316" s="320" t="s">
        <v>1113</v>
      </c>
      <c r="G316" s="321">
        <v>6051</v>
      </c>
      <c r="H316" s="321"/>
      <c r="I316" s="322">
        <v>12.96</v>
      </c>
      <c r="J316" s="322"/>
    </row>
    <row r="317" spans="1:10" x14ac:dyDescent="0.2">
      <c r="A317" s="317" t="s">
        <v>1110</v>
      </c>
      <c r="B317" s="317" t="s">
        <v>318</v>
      </c>
      <c r="C317" s="318">
        <v>43921</v>
      </c>
      <c r="D317" s="319" t="s">
        <v>1134</v>
      </c>
      <c r="E317" s="317" t="s">
        <v>1294</v>
      </c>
      <c r="F317" s="320" t="s">
        <v>1113</v>
      </c>
      <c r="G317" s="321">
        <v>6051</v>
      </c>
      <c r="H317" s="321"/>
      <c r="I317" s="322">
        <v>18.809999999999999</v>
      </c>
      <c r="J317" s="322"/>
    </row>
    <row r="318" spans="1:10" x14ac:dyDescent="0.2">
      <c r="A318" s="317" t="s">
        <v>1110</v>
      </c>
      <c r="B318" s="317" t="s">
        <v>318</v>
      </c>
      <c r="C318" s="318">
        <v>43921</v>
      </c>
      <c r="D318" s="319" t="s">
        <v>1134</v>
      </c>
      <c r="E318" s="317" t="s">
        <v>1295</v>
      </c>
      <c r="F318" s="320" t="s">
        <v>1113</v>
      </c>
      <c r="G318" s="321">
        <v>6051</v>
      </c>
      <c r="H318" s="321"/>
      <c r="I318" s="322">
        <v>7.05</v>
      </c>
      <c r="J318" s="322"/>
    </row>
    <row r="319" spans="1:10" x14ac:dyDescent="0.2">
      <c r="A319" s="317" t="s">
        <v>1110</v>
      </c>
      <c r="B319" s="317" t="s">
        <v>318</v>
      </c>
      <c r="C319" s="318">
        <v>43921</v>
      </c>
      <c r="D319" s="319" t="s">
        <v>1134</v>
      </c>
      <c r="E319" s="317" t="s">
        <v>1296</v>
      </c>
      <c r="F319" s="320" t="s">
        <v>1113</v>
      </c>
      <c r="G319" s="321">
        <v>6051</v>
      </c>
      <c r="H319" s="321"/>
      <c r="I319" s="322">
        <v>11.59</v>
      </c>
      <c r="J319" s="322"/>
    </row>
    <row r="320" spans="1:10" x14ac:dyDescent="0.2">
      <c r="A320" s="317" t="s">
        <v>1110</v>
      </c>
      <c r="B320" s="317" t="s">
        <v>318</v>
      </c>
      <c r="C320" s="318">
        <v>43921</v>
      </c>
      <c r="D320" s="319" t="s">
        <v>1134</v>
      </c>
      <c r="E320" s="317" t="s">
        <v>1297</v>
      </c>
      <c r="F320" s="320" t="s">
        <v>1113</v>
      </c>
      <c r="G320" s="321">
        <v>6051</v>
      </c>
      <c r="H320" s="321"/>
      <c r="I320" s="322">
        <v>40.78</v>
      </c>
      <c r="J320" s="322"/>
    </row>
    <row r="321" spans="1:12" x14ac:dyDescent="0.2">
      <c r="A321" s="317" t="s">
        <v>1110</v>
      </c>
      <c r="B321" s="317" t="s">
        <v>318</v>
      </c>
      <c r="C321" s="318">
        <v>43921</v>
      </c>
      <c r="D321" s="319" t="s">
        <v>1134</v>
      </c>
      <c r="E321" s="317" t="s">
        <v>1140</v>
      </c>
      <c r="F321" s="320" t="s">
        <v>1113</v>
      </c>
      <c r="G321" s="321">
        <v>6051</v>
      </c>
      <c r="H321" s="321"/>
      <c r="I321" s="322">
        <v>18.649999999999999</v>
      </c>
      <c r="J321" s="322"/>
    </row>
    <row r="322" spans="1:12" x14ac:dyDescent="0.2">
      <c r="A322" s="306"/>
      <c r="B322" s="306"/>
      <c r="C322" s="306"/>
      <c r="D322" s="306"/>
      <c r="E322" s="306"/>
      <c r="F322" s="306"/>
      <c r="G322" s="306"/>
      <c r="H322" s="306"/>
      <c r="I322" s="323">
        <v>236.03000000000003</v>
      </c>
      <c r="J322" s="323">
        <v>31.02</v>
      </c>
      <c r="L322" s="406">
        <f>I322-J322</f>
        <v>205.01000000000002</v>
      </c>
    </row>
    <row r="323" spans="1:12" x14ac:dyDescent="0.2">
      <c r="A323" s="306"/>
      <c r="B323" s="306"/>
      <c r="C323" s="306"/>
      <c r="D323" s="306"/>
      <c r="E323" s="306"/>
      <c r="F323" s="306"/>
      <c r="G323" s="306"/>
      <c r="H323" s="306"/>
      <c r="I323" s="306"/>
      <c r="J323" s="306"/>
    </row>
    <row r="324" spans="1:12" x14ac:dyDescent="0.2">
      <c r="A324" s="316" t="s">
        <v>1155</v>
      </c>
      <c r="B324" s="311"/>
      <c r="C324" s="311"/>
      <c r="D324" s="311"/>
      <c r="E324" s="311"/>
      <c r="F324" s="311"/>
      <c r="G324" s="311"/>
      <c r="H324" s="311"/>
      <c r="I324" s="311"/>
      <c r="J324" s="311"/>
    </row>
    <row r="325" spans="1:12" x14ac:dyDescent="0.2">
      <c r="A325" s="317" t="s">
        <v>1133</v>
      </c>
      <c r="B325" s="317" t="s">
        <v>1298</v>
      </c>
      <c r="C325" s="318">
        <v>43921</v>
      </c>
      <c r="D325" s="319" t="s">
        <v>1134</v>
      </c>
      <c r="E325" s="317" t="s">
        <v>1299</v>
      </c>
      <c r="F325" s="320" t="s">
        <v>1113</v>
      </c>
      <c r="G325" s="321">
        <v>6051</v>
      </c>
      <c r="H325" s="321"/>
      <c r="I325" s="322">
        <v>17.91</v>
      </c>
      <c r="J325" s="322"/>
    </row>
    <row r="326" spans="1:12" x14ac:dyDescent="0.2">
      <c r="A326" s="317" t="s">
        <v>1133</v>
      </c>
      <c r="B326" s="317" t="s">
        <v>1298</v>
      </c>
      <c r="C326" s="318">
        <v>43921</v>
      </c>
      <c r="D326" s="319" t="s">
        <v>1134</v>
      </c>
      <c r="E326" s="317" t="s">
        <v>1300</v>
      </c>
      <c r="F326" s="320" t="s">
        <v>1113</v>
      </c>
      <c r="G326" s="321">
        <v>6051</v>
      </c>
      <c r="H326" s="321"/>
      <c r="I326" s="322">
        <v>44.35</v>
      </c>
      <c r="J326" s="322"/>
    </row>
    <row r="327" spans="1:12" x14ac:dyDescent="0.2">
      <c r="A327" s="317" t="s">
        <v>1110</v>
      </c>
      <c r="B327" s="317" t="s">
        <v>318</v>
      </c>
      <c r="C327" s="318">
        <v>43921</v>
      </c>
      <c r="D327" s="319" t="s">
        <v>1134</v>
      </c>
      <c r="E327" s="317" t="s">
        <v>1301</v>
      </c>
      <c r="F327" s="320" t="s">
        <v>1113</v>
      </c>
      <c r="G327" s="321">
        <v>6051</v>
      </c>
      <c r="H327" s="321"/>
      <c r="I327" s="322">
        <v>45.22</v>
      </c>
      <c r="J327" s="322"/>
    </row>
    <row r="328" spans="1:12" x14ac:dyDescent="0.2">
      <c r="A328" s="317" t="s">
        <v>1110</v>
      </c>
      <c r="B328" s="317" t="s">
        <v>318</v>
      </c>
      <c r="C328" s="318">
        <v>43921</v>
      </c>
      <c r="D328" s="319" t="s">
        <v>1134</v>
      </c>
      <c r="E328" s="317" t="s">
        <v>1302</v>
      </c>
      <c r="F328" s="320" t="s">
        <v>1113</v>
      </c>
      <c r="G328" s="321">
        <v>6051</v>
      </c>
      <c r="H328" s="321"/>
      <c r="I328" s="322">
        <v>47.83</v>
      </c>
      <c r="J328" s="322"/>
    </row>
    <row r="329" spans="1:12" x14ac:dyDescent="0.2">
      <c r="A329" s="317" t="s">
        <v>1110</v>
      </c>
      <c r="B329" s="317" t="s">
        <v>318</v>
      </c>
      <c r="C329" s="318">
        <v>43921</v>
      </c>
      <c r="D329" s="319" t="s">
        <v>1134</v>
      </c>
      <c r="E329" s="317" t="s">
        <v>1302</v>
      </c>
      <c r="F329" s="320" t="s">
        <v>1113</v>
      </c>
      <c r="G329" s="321">
        <v>6051</v>
      </c>
      <c r="H329" s="321"/>
      <c r="I329" s="322">
        <v>31.3</v>
      </c>
      <c r="J329" s="322"/>
    </row>
    <row r="330" spans="1:12" x14ac:dyDescent="0.2">
      <c r="A330" s="317" t="s">
        <v>1110</v>
      </c>
      <c r="B330" s="317" t="s">
        <v>318</v>
      </c>
      <c r="C330" s="318">
        <v>43921</v>
      </c>
      <c r="D330" s="319" t="s">
        <v>1134</v>
      </c>
      <c r="E330" s="317" t="s">
        <v>1303</v>
      </c>
      <c r="F330" s="320" t="s">
        <v>1113</v>
      </c>
      <c r="G330" s="321">
        <v>6051</v>
      </c>
      <c r="H330" s="321"/>
      <c r="I330" s="322">
        <v>29.07</v>
      </c>
      <c r="J330" s="322"/>
    </row>
    <row r="331" spans="1:12" x14ac:dyDescent="0.2">
      <c r="A331" s="306"/>
      <c r="B331" s="306"/>
      <c r="C331" s="306"/>
      <c r="D331" s="306"/>
      <c r="E331" s="306"/>
      <c r="F331" s="306"/>
      <c r="G331" s="306"/>
      <c r="H331" s="306"/>
      <c r="I331" s="323">
        <v>215.68</v>
      </c>
      <c r="J331" s="323">
        <v>0</v>
      </c>
      <c r="L331" s="406">
        <f>I331-J331</f>
        <v>215.68</v>
      </c>
    </row>
    <row r="332" spans="1:12" x14ac:dyDescent="0.2">
      <c r="A332" s="306"/>
      <c r="B332" s="306"/>
      <c r="C332" s="306"/>
      <c r="D332" s="306"/>
      <c r="E332" s="306"/>
      <c r="F332" s="306"/>
      <c r="G332" s="306"/>
      <c r="H332" s="306"/>
      <c r="I332" s="306"/>
      <c r="J332" s="306"/>
    </row>
    <row r="333" spans="1:12" x14ac:dyDescent="0.2">
      <c r="A333" s="316" t="s">
        <v>1234</v>
      </c>
      <c r="B333" s="311"/>
      <c r="C333" s="311"/>
      <c r="D333" s="311"/>
      <c r="E333" s="311"/>
      <c r="F333" s="311"/>
      <c r="G333" s="311"/>
      <c r="H333" s="311"/>
      <c r="I333" s="311"/>
      <c r="J333" s="311"/>
    </row>
    <row r="334" spans="1:12" x14ac:dyDescent="0.2">
      <c r="A334" s="317" t="s">
        <v>1110</v>
      </c>
      <c r="B334" s="317" t="s">
        <v>318</v>
      </c>
      <c r="C334" s="318">
        <v>43891</v>
      </c>
      <c r="D334" s="319" t="s">
        <v>293</v>
      </c>
      <c r="E334" s="317" t="s">
        <v>1238</v>
      </c>
      <c r="F334" s="320" t="s">
        <v>1113</v>
      </c>
      <c r="G334" s="321">
        <v>5992</v>
      </c>
      <c r="H334" s="321"/>
      <c r="I334" s="322"/>
      <c r="J334" s="322">
        <v>200</v>
      </c>
    </row>
    <row r="335" spans="1:12" x14ac:dyDescent="0.2">
      <c r="A335" s="317" t="s">
        <v>1110</v>
      </c>
      <c r="B335" s="317" t="s">
        <v>318</v>
      </c>
      <c r="C335" s="318">
        <v>43921</v>
      </c>
      <c r="D335" s="319" t="s">
        <v>293</v>
      </c>
      <c r="E335" s="317" t="s">
        <v>1238</v>
      </c>
      <c r="F335" s="320" t="s">
        <v>1113</v>
      </c>
      <c r="G335" s="321">
        <v>6047</v>
      </c>
      <c r="H335" s="321"/>
      <c r="I335" s="322">
        <v>200</v>
      </c>
      <c r="J335" s="322"/>
    </row>
    <row r="336" spans="1:12" x14ac:dyDescent="0.2">
      <c r="A336" s="306"/>
      <c r="B336" s="306"/>
      <c r="C336" s="306"/>
      <c r="D336" s="306"/>
      <c r="E336" s="306"/>
      <c r="F336" s="306"/>
      <c r="G336" s="306"/>
      <c r="H336" s="306"/>
      <c r="I336" s="323">
        <v>200</v>
      </c>
      <c r="J336" s="323">
        <v>200</v>
      </c>
      <c r="L336" s="406">
        <f>I336-J336</f>
        <v>0</v>
      </c>
    </row>
    <row r="337" spans="1:12" x14ac:dyDescent="0.2">
      <c r="A337" s="306"/>
      <c r="B337" s="306"/>
      <c r="C337" s="306"/>
      <c r="D337" s="306"/>
      <c r="E337" s="306"/>
      <c r="F337" s="306"/>
      <c r="G337" s="306"/>
      <c r="H337" s="306"/>
      <c r="I337" s="306"/>
      <c r="J337" s="306"/>
    </row>
    <row r="338" spans="1:12" x14ac:dyDescent="0.2">
      <c r="A338" s="316" t="s">
        <v>1157</v>
      </c>
      <c r="B338" s="311"/>
      <c r="C338" s="311"/>
      <c r="D338" s="311"/>
      <c r="E338" s="311"/>
      <c r="F338" s="311"/>
      <c r="G338" s="311"/>
      <c r="H338" s="311"/>
      <c r="I338" s="311"/>
      <c r="J338" s="311"/>
    </row>
    <row r="339" spans="1:12" x14ac:dyDescent="0.2">
      <c r="A339" s="317" t="s">
        <v>1110</v>
      </c>
      <c r="B339" s="317" t="s">
        <v>318</v>
      </c>
      <c r="C339" s="318">
        <v>43891</v>
      </c>
      <c r="D339" s="319" t="s">
        <v>1115</v>
      </c>
      <c r="E339" s="317" t="s">
        <v>1185</v>
      </c>
      <c r="F339" s="320" t="s">
        <v>1113</v>
      </c>
      <c r="G339" s="321">
        <v>5978</v>
      </c>
      <c r="H339" s="321"/>
      <c r="I339" s="322"/>
      <c r="J339" s="322">
        <v>1897.49</v>
      </c>
    </row>
    <row r="340" spans="1:12" s="194" customFormat="1" x14ac:dyDescent="0.2">
      <c r="A340" s="357" t="s">
        <v>1110</v>
      </c>
      <c r="B340" s="357" t="s">
        <v>1158</v>
      </c>
      <c r="C340" s="358">
        <v>43921</v>
      </c>
      <c r="D340" s="359" t="s">
        <v>1115</v>
      </c>
      <c r="E340" s="357" t="s">
        <v>1304</v>
      </c>
      <c r="F340" s="360" t="s">
        <v>1113</v>
      </c>
      <c r="G340" s="361">
        <v>6051</v>
      </c>
      <c r="H340" s="361"/>
      <c r="I340" s="362">
        <v>154</v>
      </c>
      <c r="J340" s="362"/>
    </row>
    <row r="341" spans="1:12" s="194" customFormat="1" x14ac:dyDescent="0.2">
      <c r="A341" s="357" t="s">
        <v>1110</v>
      </c>
      <c r="B341" s="357" t="s">
        <v>1305</v>
      </c>
      <c r="C341" s="358">
        <v>43921</v>
      </c>
      <c r="D341" s="359" t="s">
        <v>1115</v>
      </c>
      <c r="E341" s="357" t="s">
        <v>1306</v>
      </c>
      <c r="F341" s="360" t="s">
        <v>1113</v>
      </c>
      <c r="G341" s="361">
        <v>6051</v>
      </c>
      <c r="H341" s="361"/>
      <c r="I341" s="362">
        <v>1897.49</v>
      </c>
      <c r="J341" s="362"/>
    </row>
    <row r="342" spans="1:12" x14ac:dyDescent="0.2">
      <c r="A342" s="306"/>
      <c r="B342" s="306"/>
      <c r="C342" s="306"/>
      <c r="D342" s="306"/>
      <c r="E342" s="306"/>
      <c r="F342" s="306"/>
      <c r="G342" s="306"/>
      <c r="H342" s="306"/>
      <c r="I342" s="323">
        <v>2051.4899999999998</v>
      </c>
      <c r="J342" s="323">
        <v>1897.49</v>
      </c>
      <c r="L342" s="406">
        <f>I342-J342</f>
        <v>153.99999999999977</v>
      </c>
    </row>
    <row r="343" spans="1:12" x14ac:dyDescent="0.2">
      <c r="A343" s="306"/>
      <c r="B343" s="306"/>
      <c r="C343" s="306"/>
      <c r="D343" s="306"/>
      <c r="E343" s="306"/>
      <c r="F343" s="306"/>
      <c r="G343" s="306"/>
      <c r="H343" s="306"/>
      <c r="I343" s="306"/>
      <c r="J343" s="306"/>
    </row>
    <row r="344" spans="1:12" x14ac:dyDescent="0.2">
      <c r="A344" s="316" t="s">
        <v>1162</v>
      </c>
      <c r="B344" s="311"/>
      <c r="C344" s="311"/>
      <c r="D344" s="311"/>
      <c r="E344" s="311"/>
      <c r="F344" s="311"/>
      <c r="G344" s="311"/>
      <c r="H344" s="311"/>
      <c r="I344" s="311"/>
      <c r="J344" s="311"/>
    </row>
    <row r="345" spans="1:12" x14ac:dyDescent="0.2">
      <c r="A345" s="317" t="s">
        <v>1110</v>
      </c>
      <c r="B345" s="317" t="s">
        <v>318</v>
      </c>
      <c r="C345" s="318">
        <v>43905</v>
      </c>
      <c r="D345" s="319" t="s">
        <v>1307</v>
      </c>
      <c r="E345" s="317" t="s">
        <v>1308</v>
      </c>
      <c r="F345" s="320" t="s">
        <v>1119</v>
      </c>
      <c r="G345" s="321">
        <v>6027</v>
      </c>
      <c r="H345" s="321">
        <v>48736</v>
      </c>
      <c r="I345" s="322">
        <v>46.09</v>
      </c>
      <c r="J345" s="322"/>
    </row>
    <row r="346" spans="1:12" x14ac:dyDescent="0.2">
      <c r="A346" s="317" t="s">
        <v>1110</v>
      </c>
      <c r="B346" s="317" t="s">
        <v>318</v>
      </c>
      <c r="C346" s="318">
        <v>43921</v>
      </c>
      <c r="D346" s="319" t="s">
        <v>1134</v>
      </c>
      <c r="E346" s="317" t="s">
        <v>1309</v>
      </c>
      <c r="F346" s="320" t="s">
        <v>1113</v>
      </c>
      <c r="G346" s="321">
        <v>6051</v>
      </c>
      <c r="H346" s="321"/>
      <c r="I346" s="322">
        <v>53.74</v>
      </c>
      <c r="J346" s="322"/>
    </row>
    <row r="347" spans="1:12" x14ac:dyDescent="0.2">
      <c r="A347" s="306"/>
      <c r="B347" s="306"/>
      <c r="C347" s="306"/>
      <c r="D347" s="306"/>
      <c r="E347" s="306"/>
      <c r="F347" s="306"/>
      <c r="G347" s="306"/>
      <c r="H347" s="306"/>
      <c r="I347" s="323">
        <v>99.830000000000013</v>
      </c>
      <c r="J347" s="323">
        <v>0</v>
      </c>
      <c r="L347" s="392">
        <f>I347-J347</f>
        <v>99.830000000000013</v>
      </c>
    </row>
    <row r="348" spans="1:12" x14ac:dyDescent="0.2">
      <c r="A348" s="306"/>
      <c r="B348" s="306"/>
      <c r="C348" s="306"/>
      <c r="D348" s="306"/>
      <c r="E348" s="306"/>
      <c r="F348" s="306"/>
      <c r="G348" s="306"/>
      <c r="H348" s="306"/>
      <c r="I348" s="306"/>
      <c r="J348" s="306"/>
    </row>
    <row r="349" spans="1:12" x14ac:dyDescent="0.2">
      <c r="A349" s="306"/>
      <c r="B349" s="306"/>
      <c r="C349" s="306"/>
      <c r="D349" s="306"/>
      <c r="E349" s="306"/>
      <c r="F349" s="306"/>
      <c r="G349" s="306"/>
      <c r="H349" s="306"/>
      <c r="I349" s="306"/>
      <c r="J349" s="306"/>
    </row>
    <row r="350" spans="1:12" x14ac:dyDescent="0.2">
      <c r="A350" s="306"/>
      <c r="B350" s="306"/>
      <c r="C350" s="306"/>
      <c r="D350" s="306"/>
      <c r="E350" s="306"/>
      <c r="F350" s="306"/>
      <c r="G350" s="306"/>
      <c r="H350" s="306"/>
      <c r="I350" s="323">
        <f>I213+I219+I225+I238+I302+I322+I331+I336+I342+I347</f>
        <v>7063.08</v>
      </c>
      <c r="J350" s="323">
        <f>J213+J219+J225+J238+J302+J322+J331+J336+J342+J347</f>
        <v>4278.7300000000005</v>
      </c>
    </row>
    <row r="353" spans="6:12" x14ac:dyDescent="0.2">
      <c r="F353" s="393"/>
      <c r="G353" s="393"/>
      <c r="H353" s="394" t="s">
        <v>1310</v>
      </c>
      <c r="I353" s="395">
        <f>I193-J193+I350-J350</f>
        <v>29169.219999999998</v>
      </c>
      <c r="L353">
        <f>SUM(L1:L352)</f>
        <v>29464.05</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1DEE-D8FC-4C13-83E2-9820989655C1}">
  <sheetPr>
    <tabColor theme="7"/>
    <pageSetUpPr fitToPage="1"/>
  </sheetPr>
  <dimension ref="A1:M314"/>
  <sheetViews>
    <sheetView topLeftCell="A280" zoomScaleNormal="100" workbookViewId="0">
      <selection activeCell="Q1" sqref="A1:Q313"/>
    </sheetView>
  </sheetViews>
  <sheetFormatPr defaultRowHeight="12.75" x14ac:dyDescent="0.2"/>
  <cols>
    <col min="1" max="1" width="14.42578125" customWidth="1"/>
    <col min="2" max="2" width="13.42578125" customWidth="1"/>
    <col min="3" max="3" width="15.85546875" customWidth="1"/>
    <col min="4" max="4" width="22.140625" bestFit="1" customWidth="1"/>
    <col min="5" max="5" width="66.5703125" bestFit="1" customWidth="1"/>
    <col min="6" max="6" width="9.42578125" customWidth="1"/>
    <col min="7" max="7" width="8.140625" customWidth="1"/>
    <col min="8" max="8" width="14.5703125" customWidth="1"/>
    <col min="9" max="10" width="21" customWidth="1"/>
  </cols>
  <sheetData>
    <row r="1" spans="1:10" ht="16.5" x14ac:dyDescent="0.25">
      <c r="A1" s="307" t="s">
        <v>1095</v>
      </c>
      <c r="B1" s="306"/>
      <c r="C1" s="306"/>
      <c r="D1" s="306"/>
      <c r="E1" s="306"/>
      <c r="F1" s="306"/>
      <c r="G1" s="306"/>
      <c r="H1" s="306"/>
      <c r="I1" s="306"/>
      <c r="J1" s="306"/>
    </row>
    <row r="2" spans="1:10" ht="16.5" x14ac:dyDescent="0.25">
      <c r="A2" s="307" t="s">
        <v>53</v>
      </c>
      <c r="B2" s="306"/>
      <c r="C2" s="306"/>
      <c r="D2" s="306"/>
      <c r="E2" s="306"/>
      <c r="F2" s="306"/>
      <c r="G2" s="306"/>
      <c r="H2" s="306"/>
      <c r="I2" s="306"/>
      <c r="J2" s="306"/>
    </row>
    <row r="3" spans="1:10" x14ac:dyDescent="0.2">
      <c r="A3" s="306" t="s">
        <v>1096</v>
      </c>
      <c r="B3" s="308">
        <v>43776</v>
      </c>
      <c r="C3" s="306" t="s">
        <v>1097</v>
      </c>
      <c r="D3" s="309" t="s">
        <v>1311</v>
      </c>
      <c r="E3" s="306"/>
      <c r="F3" s="306"/>
      <c r="G3" s="306"/>
      <c r="H3" s="306"/>
      <c r="I3" s="306"/>
      <c r="J3" s="306"/>
    </row>
    <row r="4" spans="1:10" s="301" customFormat="1" ht="15" x14ac:dyDescent="0.2">
      <c r="A4" s="310" t="s">
        <v>1312</v>
      </c>
      <c r="B4" s="310"/>
      <c r="C4" s="310"/>
      <c r="D4" s="310"/>
      <c r="E4" s="310"/>
      <c r="F4" s="310"/>
      <c r="G4" s="310"/>
      <c r="H4" s="310"/>
      <c r="I4" s="310"/>
      <c r="J4" s="310"/>
    </row>
    <row r="6" spans="1:10" s="180" customFormat="1" ht="25.5" x14ac:dyDescent="0.2">
      <c r="A6" s="312" t="s">
        <v>1100</v>
      </c>
      <c r="B6" s="312" t="s">
        <v>1101</v>
      </c>
      <c r="C6" s="313" t="s">
        <v>1102</v>
      </c>
      <c r="D6" s="313" t="s">
        <v>1103</v>
      </c>
      <c r="E6" s="312" t="s">
        <v>237</v>
      </c>
      <c r="F6" s="314" t="s">
        <v>1104</v>
      </c>
      <c r="G6" s="315" t="s">
        <v>1105</v>
      </c>
      <c r="H6" s="313" t="s">
        <v>1106</v>
      </c>
      <c r="I6" s="313" t="s">
        <v>1107</v>
      </c>
      <c r="J6" s="313" t="s">
        <v>1108</v>
      </c>
    </row>
    <row r="7" spans="1:10" s="180" customFormat="1" x14ac:dyDescent="0.2">
      <c r="A7" s="316" t="s">
        <v>1109</v>
      </c>
      <c r="B7" s="311"/>
      <c r="C7" s="311"/>
      <c r="D7" s="311"/>
      <c r="E7" s="311"/>
      <c r="F7" s="311"/>
      <c r="G7" s="311"/>
      <c r="H7" s="311"/>
      <c r="I7" s="311"/>
      <c r="J7" s="311"/>
    </row>
    <row r="8" spans="1:10" x14ac:dyDescent="0.2">
      <c r="A8" s="317" t="s">
        <v>1110</v>
      </c>
      <c r="B8" s="317" t="s">
        <v>318</v>
      </c>
      <c r="C8" s="318">
        <v>43668</v>
      </c>
      <c r="D8" s="319" t="s">
        <v>1313</v>
      </c>
      <c r="E8" s="317" t="s">
        <v>1314</v>
      </c>
      <c r="F8" s="320" t="s">
        <v>1119</v>
      </c>
      <c r="G8" s="321">
        <v>5619</v>
      </c>
      <c r="H8" s="321">
        <v>45836</v>
      </c>
      <c r="I8" s="322">
        <v>210</v>
      </c>
      <c r="J8" s="322"/>
    </row>
    <row r="9" spans="1:10" x14ac:dyDescent="0.2">
      <c r="A9" s="317" t="s">
        <v>1110</v>
      </c>
      <c r="B9" s="317" t="s">
        <v>318</v>
      </c>
      <c r="C9" s="318">
        <v>43677</v>
      </c>
      <c r="D9" s="319" t="s">
        <v>1315</v>
      </c>
      <c r="E9" s="317" t="s">
        <v>1316</v>
      </c>
      <c r="F9" s="320" t="s">
        <v>1119</v>
      </c>
      <c r="G9" s="321">
        <v>5619</v>
      </c>
      <c r="H9" s="321">
        <v>45931</v>
      </c>
      <c r="I9" s="322">
        <v>890</v>
      </c>
      <c r="J9" s="322"/>
    </row>
    <row r="10" spans="1:10" x14ac:dyDescent="0.2">
      <c r="A10" s="306"/>
      <c r="B10" s="306"/>
      <c r="C10" s="306"/>
      <c r="D10" s="306"/>
      <c r="E10" s="306"/>
      <c r="F10" s="306"/>
      <c r="G10" s="306"/>
      <c r="H10" s="306"/>
      <c r="I10" s="323">
        <v>1100</v>
      </c>
      <c r="J10" s="323">
        <v>0</v>
      </c>
    </row>
    <row r="11" spans="1:10" x14ac:dyDescent="0.2">
      <c r="A11" s="306"/>
      <c r="B11" s="306"/>
      <c r="C11" s="306"/>
      <c r="D11" s="306"/>
      <c r="E11" s="306"/>
      <c r="F11" s="306"/>
      <c r="G11" s="306"/>
      <c r="H11" s="306"/>
      <c r="I11" s="306"/>
      <c r="J11" s="306"/>
    </row>
    <row r="12" spans="1:10" x14ac:dyDescent="0.2">
      <c r="A12" s="316" t="s">
        <v>1114</v>
      </c>
      <c r="B12" s="311"/>
      <c r="C12" s="311"/>
      <c r="D12" s="311"/>
      <c r="E12" s="311"/>
      <c r="F12" s="311"/>
      <c r="G12" s="311"/>
      <c r="H12" s="311"/>
      <c r="I12" s="311"/>
      <c r="J12" s="311"/>
    </row>
    <row r="13" spans="1:10" s="365" customFormat="1" x14ac:dyDescent="0.2">
      <c r="A13" s="357" t="s">
        <v>1110</v>
      </c>
      <c r="B13" s="357" t="s">
        <v>318</v>
      </c>
      <c r="C13" s="358">
        <v>43658</v>
      </c>
      <c r="D13" s="359" t="s">
        <v>1317</v>
      </c>
      <c r="E13" s="357" t="s">
        <v>1318</v>
      </c>
      <c r="F13" s="360" t="s">
        <v>1119</v>
      </c>
      <c r="G13" s="361">
        <v>5619</v>
      </c>
      <c r="H13" s="361">
        <v>45677</v>
      </c>
      <c r="I13" s="362">
        <v>693.91</v>
      </c>
      <c r="J13" s="362"/>
    </row>
    <row r="14" spans="1:10" s="194" customFormat="1" x14ac:dyDescent="0.2">
      <c r="A14" s="357" t="s">
        <v>1110</v>
      </c>
      <c r="B14" s="357" t="s">
        <v>1158</v>
      </c>
      <c r="C14" s="358">
        <v>43708</v>
      </c>
      <c r="D14" s="359" t="s">
        <v>1319</v>
      </c>
      <c r="E14" s="357" t="s">
        <v>1320</v>
      </c>
      <c r="F14" s="360" t="s">
        <v>1113</v>
      </c>
      <c r="G14" s="361">
        <v>5685</v>
      </c>
      <c r="H14" s="361"/>
      <c r="I14" s="362">
        <v>600</v>
      </c>
      <c r="J14" s="362"/>
    </row>
    <row r="15" spans="1:10" s="194" customFormat="1" x14ac:dyDescent="0.2">
      <c r="A15" s="357" t="s">
        <v>1110</v>
      </c>
      <c r="B15" s="357" t="s">
        <v>1158</v>
      </c>
      <c r="C15" s="358">
        <v>43769</v>
      </c>
      <c r="D15" s="359" t="s">
        <v>1115</v>
      </c>
      <c r="E15" s="357" t="s">
        <v>1320</v>
      </c>
      <c r="F15" s="360" t="s">
        <v>1113</v>
      </c>
      <c r="G15" s="361">
        <v>5806</v>
      </c>
      <c r="H15" s="361"/>
      <c r="I15" s="362">
        <v>181.74</v>
      </c>
      <c r="J15" s="362"/>
    </row>
    <row r="16" spans="1:10" x14ac:dyDescent="0.2">
      <c r="A16" s="306"/>
      <c r="B16" s="306"/>
      <c r="C16" s="306"/>
      <c r="D16" s="306"/>
      <c r="E16" s="306"/>
      <c r="F16" s="306"/>
      <c r="G16" s="306"/>
      <c r="H16" s="306"/>
      <c r="I16" s="323">
        <v>1475.6499999999999</v>
      </c>
      <c r="J16" s="323">
        <v>0</v>
      </c>
    </row>
    <row r="17" spans="1:11" x14ac:dyDescent="0.2">
      <c r="A17" s="306"/>
      <c r="B17" s="306"/>
      <c r="C17" s="306"/>
      <c r="D17" s="306"/>
      <c r="E17" s="306"/>
      <c r="F17" s="306"/>
      <c r="G17" s="306"/>
      <c r="H17" s="306"/>
      <c r="I17" s="306"/>
      <c r="J17" s="306"/>
    </row>
    <row r="18" spans="1:11" x14ac:dyDescent="0.2">
      <c r="A18" s="316" t="s">
        <v>1176</v>
      </c>
      <c r="B18" s="311"/>
      <c r="C18" s="311"/>
      <c r="D18" s="311"/>
      <c r="E18" s="311"/>
      <c r="F18" s="311"/>
      <c r="G18" s="311"/>
      <c r="H18" s="311"/>
      <c r="I18" s="311"/>
      <c r="J18" s="311"/>
    </row>
    <row r="19" spans="1:11" s="383" customFormat="1" x14ac:dyDescent="0.2">
      <c r="A19" s="376" t="s">
        <v>1110</v>
      </c>
      <c r="B19" s="376" t="s">
        <v>1158</v>
      </c>
      <c r="C19" s="377">
        <v>43727</v>
      </c>
      <c r="D19" s="378" t="s">
        <v>1319</v>
      </c>
      <c r="E19" s="376" t="s">
        <v>1321</v>
      </c>
      <c r="F19" s="379" t="s">
        <v>1113</v>
      </c>
      <c r="G19" s="380">
        <v>5709</v>
      </c>
      <c r="H19" s="380"/>
      <c r="I19" s="381">
        <v>343.25</v>
      </c>
      <c r="J19" s="381"/>
      <c r="K19" s="382" t="s">
        <v>1322</v>
      </c>
    </row>
    <row r="20" spans="1:11" x14ac:dyDescent="0.2">
      <c r="A20" s="306"/>
      <c r="B20" s="306"/>
      <c r="C20" s="306"/>
      <c r="D20" s="306"/>
      <c r="E20" s="306"/>
      <c r="F20" s="306"/>
      <c r="G20" s="306"/>
      <c r="H20" s="306"/>
      <c r="I20" s="323">
        <v>343.25</v>
      </c>
      <c r="J20" s="323">
        <v>0</v>
      </c>
    </row>
    <row r="21" spans="1:11" x14ac:dyDescent="0.2">
      <c r="A21" s="306"/>
      <c r="B21" s="306"/>
      <c r="C21" s="306"/>
      <c r="D21" s="306"/>
      <c r="E21" s="306"/>
      <c r="F21" s="306"/>
      <c r="G21" s="306"/>
      <c r="H21" s="306"/>
      <c r="I21" s="306"/>
      <c r="J21" s="306"/>
    </row>
    <row r="22" spans="1:11" x14ac:dyDescent="0.2">
      <c r="A22" s="316" t="s">
        <v>1179</v>
      </c>
      <c r="B22" s="311"/>
      <c r="C22" s="311"/>
      <c r="D22" s="311"/>
      <c r="E22" s="311"/>
      <c r="F22" s="311"/>
      <c r="G22" s="311"/>
      <c r="H22" s="311"/>
      <c r="I22" s="311"/>
      <c r="J22" s="311"/>
    </row>
    <row r="23" spans="1:11" x14ac:dyDescent="0.2">
      <c r="A23" s="317" t="s">
        <v>1110</v>
      </c>
      <c r="B23" s="317" t="s">
        <v>318</v>
      </c>
      <c r="C23" s="318">
        <v>43769</v>
      </c>
      <c r="D23" s="319" t="s">
        <v>1134</v>
      </c>
      <c r="E23" s="317" t="s">
        <v>1180</v>
      </c>
      <c r="F23" s="320" t="s">
        <v>1113</v>
      </c>
      <c r="G23" s="321">
        <v>5792</v>
      </c>
      <c r="H23" s="321"/>
      <c r="I23" s="322">
        <v>398.54</v>
      </c>
      <c r="J23" s="322"/>
    </row>
    <row r="24" spans="1:11" x14ac:dyDescent="0.2">
      <c r="A24" s="306"/>
      <c r="B24" s="306"/>
      <c r="C24" s="306"/>
      <c r="D24" s="306"/>
      <c r="E24" s="306"/>
      <c r="F24" s="306"/>
      <c r="G24" s="306"/>
      <c r="H24" s="306"/>
      <c r="I24" s="323">
        <v>398.54</v>
      </c>
      <c r="J24" s="323">
        <v>0</v>
      </c>
    </row>
    <row r="25" spans="1:11" s="180" customFormat="1" x14ac:dyDescent="0.2">
      <c r="A25" s="306"/>
      <c r="B25" s="306"/>
      <c r="C25" s="306"/>
      <c r="D25" s="306"/>
      <c r="E25" s="306"/>
      <c r="F25" s="306"/>
      <c r="G25" s="306"/>
      <c r="H25" s="306"/>
      <c r="I25" s="306"/>
      <c r="J25" s="306"/>
    </row>
    <row r="26" spans="1:11" x14ac:dyDescent="0.2">
      <c r="A26" s="316" t="s">
        <v>1182</v>
      </c>
      <c r="B26" s="311"/>
      <c r="C26" s="311"/>
      <c r="D26" s="311"/>
      <c r="E26" s="311"/>
      <c r="F26" s="311"/>
      <c r="G26" s="311"/>
      <c r="H26" s="311"/>
      <c r="I26" s="311"/>
      <c r="J26" s="311"/>
    </row>
    <row r="27" spans="1:11" x14ac:dyDescent="0.2">
      <c r="A27" s="317" t="s">
        <v>493</v>
      </c>
      <c r="B27" s="317" t="s">
        <v>318</v>
      </c>
      <c r="C27" s="318">
        <v>43769</v>
      </c>
      <c r="D27" s="319" t="s">
        <v>1174</v>
      </c>
      <c r="E27" s="317" t="s">
        <v>1323</v>
      </c>
      <c r="F27" s="320" t="s">
        <v>1113</v>
      </c>
      <c r="G27" s="321">
        <v>5806</v>
      </c>
      <c r="H27" s="321"/>
      <c r="I27" s="322">
        <v>8.26</v>
      </c>
      <c r="J27" s="322"/>
    </row>
    <row r="28" spans="1:11" x14ac:dyDescent="0.2">
      <c r="A28" s="317" t="s">
        <v>493</v>
      </c>
      <c r="B28" s="317" t="s">
        <v>318</v>
      </c>
      <c r="C28" s="318">
        <v>43769</v>
      </c>
      <c r="D28" s="319" t="s">
        <v>1174</v>
      </c>
      <c r="E28" s="317" t="s">
        <v>1324</v>
      </c>
      <c r="F28" s="320" t="s">
        <v>1113</v>
      </c>
      <c r="G28" s="321">
        <v>5806</v>
      </c>
      <c r="H28" s="321"/>
      <c r="I28" s="322">
        <v>12.17</v>
      </c>
      <c r="J28" s="322"/>
    </row>
    <row r="29" spans="1:11" x14ac:dyDescent="0.2">
      <c r="A29" s="317" t="s">
        <v>493</v>
      </c>
      <c r="B29" s="317" t="s">
        <v>318</v>
      </c>
      <c r="C29" s="318">
        <v>43769</v>
      </c>
      <c r="D29" s="319" t="s">
        <v>1174</v>
      </c>
      <c r="E29" s="317" t="s">
        <v>1325</v>
      </c>
      <c r="F29" s="320" t="s">
        <v>1113</v>
      </c>
      <c r="G29" s="321">
        <v>5806</v>
      </c>
      <c r="H29" s="321"/>
      <c r="I29" s="322">
        <v>8.35</v>
      </c>
      <c r="J29" s="322"/>
    </row>
    <row r="30" spans="1:11" x14ac:dyDescent="0.2">
      <c r="A30" s="317" t="s">
        <v>1110</v>
      </c>
      <c r="B30" s="317" t="s">
        <v>318</v>
      </c>
      <c r="C30" s="318">
        <v>43708</v>
      </c>
      <c r="D30" s="319" t="s">
        <v>1326</v>
      </c>
      <c r="E30" s="317" t="s">
        <v>1327</v>
      </c>
      <c r="F30" s="320" t="s">
        <v>1113</v>
      </c>
      <c r="G30" s="321">
        <v>5685</v>
      </c>
      <c r="H30" s="321"/>
      <c r="I30" s="322">
        <v>9.2200000000000006</v>
      </c>
      <c r="J30" s="322"/>
    </row>
    <row r="31" spans="1:11" x14ac:dyDescent="0.2">
      <c r="A31" s="317" t="s">
        <v>1110</v>
      </c>
      <c r="B31" s="317" t="s">
        <v>318</v>
      </c>
      <c r="C31" s="318">
        <v>43708</v>
      </c>
      <c r="D31" s="319" t="s">
        <v>1326</v>
      </c>
      <c r="E31" s="317" t="s">
        <v>1328</v>
      </c>
      <c r="F31" s="320" t="s">
        <v>1113</v>
      </c>
      <c r="G31" s="321">
        <v>5685</v>
      </c>
      <c r="H31" s="321"/>
      <c r="I31" s="322">
        <v>57.83</v>
      </c>
      <c r="J31" s="322"/>
    </row>
    <row r="32" spans="1:11" x14ac:dyDescent="0.2">
      <c r="A32" s="317" t="s">
        <v>1110</v>
      </c>
      <c r="B32" s="317" t="s">
        <v>318</v>
      </c>
      <c r="C32" s="318">
        <v>43708</v>
      </c>
      <c r="D32" s="319" t="s">
        <v>1326</v>
      </c>
      <c r="E32" s="317" t="s">
        <v>1329</v>
      </c>
      <c r="F32" s="320" t="s">
        <v>1113</v>
      </c>
      <c r="G32" s="321">
        <v>5685</v>
      </c>
      <c r="H32" s="321"/>
      <c r="I32" s="322">
        <v>140</v>
      </c>
      <c r="J32" s="322"/>
    </row>
    <row r="33" spans="1:10" x14ac:dyDescent="0.2">
      <c r="A33" s="317" t="s">
        <v>1110</v>
      </c>
      <c r="B33" s="317" t="s">
        <v>318</v>
      </c>
      <c r="C33" s="318">
        <v>43769</v>
      </c>
      <c r="D33" s="319" t="s">
        <v>1115</v>
      </c>
      <c r="E33" s="317" t="s">
        <v>1180</v>
      </c>
      <c r="F33" s="320" t="s">
        <v>1113</v>
      </c>
      <c r="G33" s="321">
        <v>5792</v>
      </c>
      <c r="H33" s="321"/>
      <c r="I33" s="322">
        <v>25.2</v>
      </c>
      <c r="J33" s="322"/>
    </row>
    <row r="34" spans="1:10" x14ac:dyDescent="0.2">
      <c r="A34" s="317" t="s">
        <v>1110</v>
      </c>
      <c r="B34" s="317" t="s">
        <v>318</v>
      </c>
      <c r="C34" s="318">
        <v>43769</v>
      </c>
      <c r="D34" s="319" t="s">
        <v>1174</v>
      </c>
      <c r="E34" s="317" t="s">
        <v>1330</v>
      </c>
      <c r="F34" s="320" t="s">
        <v>1113</v>
      </c>
      <c r="G34" s="321">
        <v>5806</v>
      </c>
      <c r="H34" s="321"/>
      <c r="I34" s="322">
        <v>12.61</v>
      </c>
      <c r="J34" s="322"/>
    </row>
    <row r="35" spans="1:10" x14ac:dyDescent="0.2">
      <c r="A35" s="306"/>
      <c r="B35" s="306"/>
      <c r="C35" s="306"/>
      <c r="D35" s="306"/>
      <c r="E35" s="306"/>
      <c r="F35" s="306"/>
      <c r="G35" s="306"/>
      <c r="H35" s="306"/>
      <c r="I35" s="323">
        <v>273.64</v>
      </c>
      <c r="J35" s="323">
        <v>0</v>
      </c>
    </row>
    <row r="36" spans="1:10" x14ac:dyDescent="0.2">
      <c r="A36" s="306"/>
      <c r="B36" s="306"/>
      <c r="C36" s="306"/>
      <c r="D36" s="306"/>
      <c r="E36" s="306"/>
      <c r="F36" s="306"/>
      <c r="G36" s="306"/>
      <c r="H36" s="306"/>
      <c r="I36" s="306"/>
      <c r="J36" s="306"/>
    </row>
    <row r="37" spans="1:10" x14ac:dyDescent="0.2">
      <c r="A37" s="316" t="s">
        <v>1128</v>
      </c>
      <c r="B37" s="311"/>
      <c r="C37" s="311"/>
      <c r="D37" s="311"/>
      <c r="E37" s="311"/>
      <c r="F37" s="311"/>
      <c r="G37" s="311"/>
      <c r="H37" s="311"/>
      <c r="I37" s="311"/>
      <c r="J37" s="311"/>
    </row>
    <row r="38" spans="1:10" s="194" customFormat="1" x14ac:dyDescent="0.2">
      <c r="A38" s="357" t="s">
        <v>1110</v>
      </c>
      <c r="B38" s="357" t="s">
        <v>318</v>
      </c>
      <c r="C38" s="358">
        <v>43647</v>
      </c>
      <c r="D38" s="359" t="s">
        <v>293</v>
      </c>
      <c r="E38" s="357" t="s">
        <v>1129</v>
      </c>
      <c r="F38" s="360" t="s">
        <v>1113</v>
      </c>
      <c r="G38" s="361">
        <v>5564</v>
      </c>
      <c r="H38" s="361"/>
      <c r="I38" s="362"/>
      <c r="J38" s="362">
        <v>151</v>
      </c>
    </row>
    <row r="39" spans="1:10" s="194" customFormat="1" x14ac:dyDescent="0.2">
      <c r="A39" s="357" t="s">
        <v>1110</v>
      </c>
      <c r="B39" s="357" t="s">
        <v>318</v>
      </c>
      <c r="C39" s="358">
        <v>43671</v>
      </c>
      <c r="D39" s="359" t="s">
        <v>293</v>
      </c>
      <c r="E39" s="357" t="s">
        <v>1129</v>
      </c>
      <c r="F39" s="360" t="s">
        <v>1113</v>
      </c>
      <c r="G39" s="361">
        <v>5608</v>
      </c>
      <c r="H39" s="361"/>
      <c r="I39" s="362">
        <v>151</v>
      </c>
      <c r="J39" s="362"/>
    </row>
    <row r="40" spans="1:10" s="194" customFormat="1" x14ac:dyDescent="0.2">
      <c r="A40" s="357" t="s">
        <v>1110</v>
      </c>
      <c r="B40" s="357" t="s">
        <v>318</v>
      </c>
      <c r="C40" s="358">
        <v>43677</v>
      </c>
      <c r="D40" s="359" t="s">
        <v>293</v>
      </c>
      <c r="E40" s="357" t="s">
        <v>1129</v>
      </c>
      <c r="F40" s="360" t="s">
        <v>1113</v>
      </c>
      <c r="G40" s="361">
        <v>5620</v>
      </c>
      <c r="H40" s="361"/>
      <c r="I40" s="362">
        <v>153.6</v>
      </c>
      <c r="J40" s="362"/>
    </row>
    <row r="41" spans="1:10" s="194" customFormat="1" x14ac:dyDescent="0.2">
      <c r="A41" s="357" t="s">
        <v>1110</v>
      </c>
      <c r="B41" s="357" t="s">
        <v>318</v>
      </c>
      <c r="C41" s="358">
        <v>43678</v>
      </c>
      <c r="D41" s="359" t="s">
        <v>293</v>
      </c>
      <c r="E41" s="357" t="s">
        <v>1129</v>
      </c>
      <c r="F41" s="360" t="s">
        <v>1113</v>
      </c>
      <c r="G41" s="361">
        <v>5640</v>
      </c>
      <c r="H41" s="361"/>
      <c r="I41" s="362"/>
      <c r="J41" s="362">
        <v>153.6</v>
      </c>
    </row>
    <row r="42" spans="1:10" s="194" customFormat="1" x14ac:dyDescent="0.2">
      <c r="A42" s="357" t="s">
        <v>1110</v>
      </c>
      <c r="B42" s="357" t="s">
        <v>318</v>
      </c>
      <c r="C42" s="358">
        <v>43705</v>
      </c>
      <c r="D42" s="359" t="s">
        <v>293</v>
      </c>
      <c r="E42" s="357" t="s">
        <v>1129</v>
      </c>
      <c r="F42" s="360" t="s">
        <v>1113</v>
      </c>
      <c r="G42" s="361">
        <v>5648</v>
      </c>
      <c r="H42" s="361"/>
      <c r="I42" s="362">
        <v>153.6</v>
      </c>
      <c r="J42" s="362"/>
    </row>
    <row r="43" spans="1:10" s="194" customFormat="1" x14ac:dyDescent="0.2">
      <c r="A43" s="357" t="s">
        <v>1110</v>
      </c>
      <c r="B43" s="357" t="s">
        <v>318</v>
      </c>
      <c r="C43" s="358">
        <v>43708</v>
      </c>
      <c r="D43" s="359" t="s">
        <v>293</v>
      </c>
      <c r="E43" s="357" t="s">
        <v>1129</v>
      </c>
      <c r="F43" s="360" t="s">
        <v>1113</v>
      </c>
      <c r="G43" s="361">
        <v>5672</v>
      </c>
      <c r="H43" s="361"/>
      <c r="I43" s="362">
        <v>337.41</v>
      </c>
      <c r="J43" s="362"/>
    </row>
    <row r="44" spans="1:10" s="194" customFormat="1" x14ac:dyDescent="0.2">
      <c r="A44" s="357" t="s">
        <v>1110</v>
      </c>
      <c r="B44" s="357" t="s">
        <v>318</v>
      </c>
      <c r="C44" s="358">
        <v>43709</v>
      </c>
      <c r="D44" s="359" t="s">
        <v>293</v>
      </c>
      <c r="E44" s="357" t="s">
        <v>1129</v>
      </c>
      <c r="F44" s="360" t="s">
        <v>1113</v>
      </c>
      <c r="G44" s="361">
        <v>5676</v>
      </c>
      <c r="H44" s="361"/>
      <c r="I44" s="362"/>
      <c r="J44" s="362">
        <v>337.41</v>
      </c>
    </row>
    <row r="45" spans="1:10" s="194" customFormat="1" x14ac:dyDescent="0.2">
      <c r="A45" s="357" t="s">
        <v>1110</v>
      </c>
      <c r="B45" s="357" t="s">
        <v>318</v>
      </c>
      <c r="C45" s="358">
        <v>43728</v>
      </c>
      <c r="D45" s="359" t="s">
        <v>293</v>
      </c>
      <c r="E45" s="357" t="s">
        <v>1129</v>
      </c>
      <c r="F45" s="360" t="s">
        <v>1113</v>
      </c>
      <c r="G45" s="361">
        <v>5705</v>
      </c>
      <c r="H45" s="361"/>
      <c r="I45" s="362">
        <v>337.41</v>
      </c>
      <c r="J45" s="362"/>
    </row>
    <row r="46" spans="1:10" s="194" customFormat="1" x14ac:dyDescent="0.2">
      <c r="A46" s="357" t="s">
        <v>1110</v>
      </c>
      <c r="B46" s="357" t="s">
        <v>318</v>
      </c>
      <c r="C46" s="358">
        <v>43738</v>
      </c>
      <c r="D46" s="359" t="s">
        <v>293</v>
      </c>
      <c r="E46" s="357" t="s">
        <v>383</v>
      </c>
      <c r="F46" s="360" t="s">
        <v>1113</v>
      </c>
      <c r="G46" s="361">
        <v>5726</v>
      </c>
      <c r="H46" s="361"/>
      <c r="I46" s="362">
        <v>148.9</v>
      </c>
      <c r="J46" s="362"/>
    </row>
    <row r="47" spans="1:10" s="194" customFormat="1" x14ac:dyDescent="0.2">
      <c r="A47" s="357" t="s">
        <v>1110</v>
      </c>
      <c r="B47" s="357" t="s">
        <v>318</v>
      </c>
      <c r="C47" s="358">
        <v>43739</v>
      </c>
      <c r="D47" s="359" t="s">
        <v>293</v>
      </c>
      <c r="E47" s="357" t="s">
        <v>383</v>
      </c>
      <c r="F47" s="360" t="s">
        <v>1113</v>
      </c>
      <c r="G47" s="361">
        <v>5737</v>
      </c>
      <c r="H47" s="361"/>
      <c r="I47" s="362"/>
      <c r="J47" s="362">
        <v>148.9</v>
      </c>
    </row>
    <row r="48" spans="1:10" s="194" customFormat="1" x14ac:dyDescent="0.2">
      <c r="A48" s="357" t="s">
        <v>1110</v>
      </c>
      <c r="B48" s="357" t="s">
        <v>318</v>
      </c>
      <c r="C48" s="358">
        <v>43769</v>
      </c>
      <c r="D48" s="359" t="s">
        <v>293</v>
      </c>
      <c r="E48" s="357" t="s">
        <v>1189</v>
      </c>
      <c r="F48" s="360" t="s">
        <v>1113</v>
      </c>
      <c r="G48" s="361">
        <v>5786</v>
      </c>
      <c r="H48" s="361"/>
      <c r="I48" s="362">
        <v>261.95</v>
      </c>
      <c r="J48" s="362"/>
    </row>
    <row r="49" spans="1:10" s="194" customFormat="1" x14ac:dyDescent="0.2">
      <c r="A49" s="357" t="s">
        <v>1110</v>
      </c>
      <c r="B49" s="357" t="s">
        <v>318</v>
      </c>
      <c r="C49" s="358">
        <v>43768</v>
      </c>
      <c r="D49" s="359" t="s">
        <v>293</v>
      </c>
      <c r="E49" s="357" t="s">
        <v>383</v>
      </c>
      <c r="F49" s="360" t="s">
        <v>1113</v>
      </c>
      <c r="G49" s="361">
        <v>5769</v>
      </c>
      <c r="H49" s="361"/>
      <c r="I49" s="362">
        <v>148.9</v>
      </c>
      <c r="J49" s="362"/>
    </row>
    <row r="50" spans="1:10" x14ac:dyDescent="0.2">
      <c r="A50" s="306"/>
      <c r="B50" s="306"/>
      <c r="C50" s="306"/>
      <c r="D50" s="306"/>
      <c r="E50" s="306"/>
      <c r="F50" s="306"/>
      <c r="G50" s="306"/>
      <c r="H50" s="306"/>
      <c r="I50" s="323">
        <v>1692.7700000000004</v>
      </c>
      <c r="J50" s="323">
        <v>790.91</v>
      </c>
    </row>
    <row r="51" spans="1:10" x14ac:dyDescent="0.2">
      <c r="A51" s="306"/>
      <c r="B51" s="306"/>
      <c r="C51" s="306"/>
      <c r="D51" s="306"/>
      <c r="E51" s="306"/>
      <c r="F51" s="306"/>
      <c r="G51" s="306"/>
      <c r="H51" s="306"/>
      <c r="I51" s="306"/>
      <c r="J51" s="306"/>
    </row>
    <row r="52" spans="1:10" x14ac:dyDescent="0.2">
      <c r="A52" s="316" t="s">
        <v>1130</v>
      </c>
      <c r="B52" s="311"/>
      <c r="C52" s="311"/>
      <c r="D52" s="311"/>
      <c r="E52" s="311"/>
      <c r="F52" s="311"/>
      <c r="G52" s="311"/>
      <c r="H52" s="311"/>
      <c r="I52" s="311"/>
      <c r="J52" s="311"/>
    </row>
    <row r="53" spans="1:10" x14ac:dyDescent="0.2">
      <c r="A53" s="317" t="s">
        <v>1133</v>
      </c>
      <c r="B53" s="317" t="s">
        <v>318</v>
      </c>
      <c r="C53" s="318">
        <v>43647</v>
      </c>
      <c r="D53" s="319" t="s">
        <v>293</v>
      </c>
      <c r="E53" s="317" t="s">
        <v>1331</v>
      </c>
      <c r="F53" s="320" t="s">
        <v>1113</v>
      </c>
      <c r="G53" s="321">
        <v>5564</v>
      </c>
      <c r="H53" s="321"/>
      <c r="I53" s="322"/>
      <c r="J53" s="322">
        <v>273.76</v>
      </c>
    </row>
    <row r="54" spans="1:10" s="194" customFormat="1" x14ac:dyDescent="0.2">
      <c r="A54" s="357" t="s">
        <v>1133</v>
      </c>
      <c r="B54" s="357" t="s">
        <v>318</v>
      </c>
      <c r="C54" s="358">
        <v>43671</v>
      </c>
      <c r="D54" s="359" t="s">
        <v>293</v>
      </c>
      <c r="E54" s="357" t="s">
        <v>1331</v>
      </c>
      <c r="F54" s="360" t="s">
        <v>1113</v>
      </c>
      <c r="G54" s="361">
        <v>5608</v>
      </c>
      <c r="H54" s="361"/>
      <c r="I54" s="362">
        <v>273.76</v>
      </c>
      <c r="J54" s="362"/>
    </row>
    <row r="55" spans="1:10" x14ac:dyDescent="0.2">
      <c r="A55" s="317" t="s">
        <v>1133</v>
      </c>
      <c r="B55" s="317" t="s">
        <v>318</v>
      </c>
      <c r="C55" s="318">
        <v>43677</v>
      </c>
      <c r="D55" s="319" t="s">
        <v>293</v>
      </c>
      <c r="E55" s="317" t="s">
        <v>1331</v>
      </c>
      <c r="F55" s="320" t="s">
        <v>1113</v>
      </c>
      <c r="G55" s="321">
        <v>5620</v>
      </c>
      <c r="H55" s="321"/>
      <c r="I55" s="322">
        <v>120.95</v>
      </c>
      <c r="J55" s="322"/>
    </row>
    <row r="56" spans="1:10" x14ac:dyDescent="0.2">
      <c r="A56" s="317" t="s">
        <v>1133</v>
      </c>
      <c r="B56" s="317" t="s">
        <v>318</v>
      </c>
      <c r="C56" s="318">
        <v>43678</v>
      </c>
      <c r="D56" s="319" t="s">
        <v>293</v>
      </c>
      <c r="E56" s="317" t="s">
        <v>1331</v>
      </c>
      <c r="F56" s="320" t="s">
        <v>1113</v>
      </c>
      <c r="G56" s="321">
        <v>5640</v>
      </c>
      <c r="H56" s="321"/>
      <c r="I56" s="322"/>
      <c r="J56" s="322">
        <v>120.95</v>
      </c>
    </row>
    <row r="57" spans="1:10" s="194" customFormat="1" x14ac:dyDescent="0.2">
      <c r="A57" s="357" t="s">
        <v>1133</v>
      </c>
      <c r="B57" s="357" t="s">
        <v>318</v>
      </c>
      <c r="C57" s="358">
        <v>43705</v>
      </c>
      <c r="D57" s="359" t="s">
        <v>293</v>
      </c>
      <c r="E57" s="357" t="s">
        <v>1331</v>
      </c>
      <c r="F57" s="360" t="s">
        <v>1113</v>
      </c>
      <c r="G57" s="361">
        <v>5648</v>
      </c>
      <c r="H57" s="361"/>
      <c r="I57" s="362">
        <v>120.95</v>
      </c>
      <c r="J57" s="362"/>
    </row>
    <row r="58" spans="1:10" s="194" customFormat="1" x14ac:dyDescent="0.2">
      <c r="A58" s="357" t="s">
        <v>1133</v>
      </c>
      <c r="B58" s="357" t="s">
        <v>318</v>
      </c>
      <c r="C58" s="358">
        <v>43769</v>
      </c>
      <c r="D58" s="359" t="s">
        <v>293</v>
      </c>
      <c r="E58" s="357" t="s">
        <v>1190</v>
      </c>
      <c r="F58" s="360" t="s">
        <v>1113</v>
      </c>
      <c r="G58" s="361">
        <v>5786</v>
      </c>
      <c r="H58" s="361"/>
      <c r="I58" s="362">
        <v>662.86</v>
      </c>
      <c r="J58" s="362"/>
    </row>
    <row r="59" spans="1:10" x14ac:dyDescent="0.2">
      <c r="A59" s="317" t="s">
        <v>1110</v>
      </c>
      <c r="B59" s="317" t="s">
        <v>318</v>
      </c>
      <c r="C59" s="318">
        <v>43647</v>
      </c>
      <c r="D59" s="319" t="s">
        <v>293</v>
      </c>
      <c r="E59" s="317" t="s">
        <v>1332</v>
      </c>
      <c r="F59" s="320" t="s">
        <v>1113</v>
      </c>
      <c r="G59" s="321">
        <v>5564</v>
      </c>
      <c r="H59" s="321"/>
      <c r="I59" s="322"/>
      <c r="J59" s="322">
        <v>506.6</v>
      </c>
    </row>
    <row r="60" spans="1:10" x14ac:dyDescent="0.2">
      <c r="A60" s="317" t="s">
        <v>1110</v>
      </c>
      <c r="B60" s="317" t="s">
        <v>318</v>
      </c>
      <c r="C60" s="318">
        <v>43647</v>
      </c>
      <c r="D60" s="319" t="s">
        <v>293</v>
      </c>
      <c r="E60" s="317" t="s">
        <v>1333</v>
      </c>
      <c r="F60" s="320" t="s">
        <v>1113</v>
      </c>
      <c r="G60" s="321">
        <v>5564</v>
      </c>
      <c r="H60" s="321"/>
      <c r="I60" s="322"/>
      <c r="J60" s="322">
        <v>163.47999999999999</v>
      </c>
    </row>
    <row r="61" spans="1:10" x14ac:dyDescent="0.2">
      <c r="A61" s="317" t="s">
        <v>1110</v>
      </c>
      <c r="B61" s="317" t="s">
        <v>318</v>
      </c>
      <c r="C61" s="318">
        <v>43647</v>
      </c>
      <c r="D61" s="319" t="s">
        <v>293</v>
      </c>
      <c r="E61" s="317" t="s">
        <v>1334</v>
      </c>
      <c r="F61" s="320" t="s">
        <v>1113</v>
      </c>
      <c r="G61" s="321">
        <v>5564</v>
      </c>
      <c r="H61" s="321"/>
      <c r="I61" s="322"/>
      <c r="J61" s="322">
        <v>149.65</v>
      </c>
    </row>
    <row r="62" spans="1:10" x14ac:dyDescent="0.2">
      <c r="A62" s="317" t="s">
        <v>1110</v>
      </c>
      <c r="B62" s="317" t="s">
        <v>318</v>
      </c>
      <c r="C62" s="318">
        <v>43647</v>
      </c>
      <c r="D62" s="319" t="s">
        <v>293</v>
      </c>
      <c r="E62" s="317" t="s">
        <v>1335</v>
      </c>
      <c r="F62" s="320" t="s">
        <v>1113</v>
      </c>
      <c r="G62" s="321">
        <v>5564</v>
      </c>
      <c r="H62" s="321"/>
      <c r="I62" s="322"/>
      <c r="J62" s="322">
        <v>218.69</v>
      </c>
    </row>
    <row r="63" spans="1:10" x14ac:dyDescent="0.2">
      <c r="A63" s="317" t="s">
        <v>1110</v>
      </c>
      <c r="B63" s="317" t="s">
        <v>318</v>
      </c>
      <c r="C63" s="318">
        <v>43647</v>
      </c>
      <c r="D63" s="319" t="s">
        <v>293</v>
      </c>
      <c r="E63" s="317" t="s">
        <v>1336</v>
      </c>
      <c r="F63" s="320" t="s">
        <v>1113</v>
      </c>
      <c r="G63" s="321">
        <v>5564</v>
      </c>
      <c r="H63" s="321"/>
      <c r="I63" s="322"/>
      <c r="J63" s="322">
        <v>93.83</v>
      </c>
    </row>
    <row r="64" spans="1:10" x14ac:dyDescent="0.2">
      <c r="A64" s="317" t="s">
        <v>1110</v>
      </c>
      <c r="B64" s="317" t="s">
        <v>318</v>
      </c>
      <c r="C64" s="318">
        <v>43647</v>
      </c>
      <c r="D64" s="319" t="s">
        <v>293</v>
      </c>
      <c r="E64" s="317" t="s">
        <v>1337</v>
      </c>
      <c r="F64" s="320" t="s">
        <v>1113</v>
      </c>
      <c r="G64" s="321">
        <v>5564</v>
      </c>
      <c r="H64" s="321"/>
      <c r="I64" s="322"/>
      <c r="J64" s="322">
        <v>158.35</v>
      </c>
    </row>
    <row r="65" spans="1:10" x14ac:dyDescent="0.2">
      <c r="A65" s="317" t="s">
        <v>1110</v>
      </c>
      <c r="B65" s="317" t="s">
        <v>318</v>
      </c>
      <c r="C65" s="318">
        <v>43647</v>
      </c>
      <c r="D65" s="319" t="s">
        <v>293</v>
      </c>
      <c r="E65" s="317" t="s">
        <v>1338</v>
      </c>
      <c r="F65" s="320" t="s">
        <v>1113</v>
      </c>
      <c r="G65" s="321">
        <v>5564</v>
      </c>
      <c r="H65" s="321"/>
      <c r="I65" s="322"/>
      <c r="J65" s="322">
        <v>394.7</v>
      </c>
    </row>
    <row r="66" spans="1:10" x14ac:dyDescent="0.2">
      <c r="A66" s="317" t="s">
        <v>1110</v>
      </c>
      <c r="B66" s="317" t="s">
        <v>318</v>
      </c>
      <c r="C66" s="318">
        <v>43647</v>
      </c>
      <c r="D66" s="319" t="s">
        <v>293</v>
      </c>
      <c r="E66" s="317" t="s">
        <v>1339</v>
      </c>
      <c r="F66" s="320" t="s">
        <v>1113</v>
      </c>
      <c r="G66" s="321">
        <v>5564</v>
      </c>
      <c r="H66" s="321"/>
      <c r="I66" s="322"/>
      <c r="J66" s="322">
        <v>210.35</v>
      </c>
    </row>
    <row r="67" spans="1:10" x14ac:dyDescent="0.2">
      <c r="A67" s="317" t="s">
        <v>1110</v>
      </c>
      <c r="B67" s="317" t="s">
        <v>318</v>
      </c>
      <c r="C67" s="318">
        <v>43671</v>
      </c>
      <c r="D67" s="319" t="s">
        <v>293</v>
      </c>
      <c r="E67" s="317" t="s">
        <v>1332</v>
      </c>
      <c r="F67" s="320" t="s">
        <v>1113</v>
      </c>
      <c r="G67" s="321">
        <v>5608</v>
      </c>
      <c r="H67" s="321"/>
      <c r="I67" s="322">
        <v>506.6</v>
      </c>
      <c r="J67" s="322"/>
    </row>
    <row r="68" spans="1:10" x14ac:dyDescent="0.2">
      <c r="A68" s="317" t="s">
        <v>1110</v>
      </c>
      <c r="B68" s="317" t="s">
        <v>318</v>
      </c>
      <c r="C68" s="318">
        <v>43671</v>
      </c>
      <c r="D68" s="319" t="s">
        <v>293</v>
      </c>
      <c r="E68" s="317" t="s">
        <v>1333</v>
      </c>
      <c r="F68" s="320" t="s">
        <v>1113</v>
      </c>
      <c r="G68" s="321">
        <v>5608</v>
      </c>
      <c r="H68" s="321"/>
      <c r="I68" s="322">
        <v>163.47999999999999</v>
      </c>
      <c r="J68" s="322"/>
    </row>
    <row r="69" spans="1:10" x14ac:dyDescent="0.2">
      <c r="A69" s="317" t="s">
        <v>1110</v>
      </c>
      <c r="B69" s="317" t="s">
        <v>318</v>
      </c>
      <c r="C69" s="318">
        <v>43671</v>
      </c>
      <c r="D69" s="319" t="s">
        <v>293</v>
      </c>
      <c r="E69" s="317" t="s">
        <v>1334</v>
      </c>
      <c r="F69" s="320" t="s">
        <v>1113</v>
      </c>
      <c r="G69" s="321">
        <v>5608</v>
      </c>
      <c r="H69" s="321"/>
      <c r="I69" s="322">
        <v>149.65</v>
      </c>
      <c r="J69" s="322"/>
    </row>
    <row r="70" spans="1:10" x14ac:dyDescent="0.2">
      <c r="A70" s="317" t="s">
        <v>1110</v>
      </c>
      <c r="B70" s="317" t="s">
        <v>318</v>
      </c>
      <c r="C70" s="318">
        <v>43671</v>
      </c>
      <c r="D70" s="319" t="s">
        <v>293</v>
      </c>
      <c r="E70" s="317" t="s">
        <v>1335</v>
      </c>
      <c r="F70" s="320" t="s">
        <v>1113</v>
      </c>
      <c r="G70" s="321">
        <v>5608</v>
      </c>
      <c r="H70" s="321"/>
      <c r="I70" s="322">
        <v>218.69</v>
      </c>
      <c r="J70" s="322"/>
    </row>
    <row r="71" spans="1:10" x14ac:dyDescent="0.2">
      <c r="A71" s="317" t="s">
        <v>1110</v>
      </c>
      <c r="B71" s="317" t="s">
        <v>318</v>
      </c>
      <c r="C71" s="318">
        <v>43671</v>
      </c>
      <c r="D71" s="319" t="s">
        <v>293</v>
      </c>
      <c r="E71" s="317" t="s">
        <v>1336</v>
      </c>
      <c r="F71" s="320" t="s">
        <v>1113</v>
      </c>
      <c r="G71" s="321">
        <v>5608</v>
      </c>
      <c r="H71" s="321"/>
      <c r="I71" s="322">
        <v>93.83</v>
      </c>
      <c r="J71" s="322"/>
    </row>
    <row r="72" spans="1:10" x14ac:dyDescent="0.2">
      <c r="A72" s="317" t="s">
        <v>1110</v>
      </c>
      <c r="B72" s="317" t="s">
        <v>318</v>
      </c>
      <c r="C72" s="318">
        <v>43671</v>
      </c>
      <c r="D72" s="319" t="s">
        <v>293</v>
      </c>
      <c r="E72" s="317" t="s">
        <v>1337</v>
      </c>
      <c r="F72" s="320" t="s">
        <v>1113</v>
      </c>
      <c r="G72" s="321">
        <v>5608</v>
      </c>
      <c r="H72" s="321"/>
      <c r="I72" s="322">
        <v>158.35</v>
      </c>
      <c r="J72" s="322"/>
    </row>
    <row r="73" spans="1:10" s="194" customFormat="1" x14ac:dyDescent="0.2">
      <c r="A73" s="357" t="s">
        <v>1110</v>
      </c>
      <c r="B73" s="357" t="s">
        <v>318</v>
      </c>
      <c r="C73" s="358">
        <v>43671</v>
      </c>
      <c r="D73" s="359" t="s">
        <v>293</v>
      </c>
      <c r="E73" s="357" t="s">
        <v>1338</v>
      </c>
      <c r="F73" s="360" t="s">
        <v>1113</v>
      </c>
      <c r="G73" s="361">
        <v>5608</v>
      </c>
      <c r="H73" s="361"/>
      <c r="I73" s="362">
        <v>394.7</v>
      </c>
      <c r="J73" s="362"/>
    </row>
    <row r="74" spans="1:10" x14ac:dyDescent="0.2">
      <c r="A74" s="317" t="s">
        <v>1110</v>
      </c>
      <c r="B74" s="317" t="s">
        <v>318</v>
      </c>
      <c r="C74" s="318">
        <v>43671</v>
      </c>
      <c r="D74" s="319" t="s">
        <v>293</v>
      </c>
      <c r="E74" s="317" t="s">
        <v>1339</v>
      </c>
      <c r="F74" s="320" t="s">
        <v>1113</v>
      </c>
      <c r="G74" s="321">
        <v>5608</v>
      </c>
      <c r="H74" s="321"/>
      <c r="I74" s="322">
        <v>210.35</v>
      </c>
      <c r="J74" s="322"/>
    </row>
    <row r="75" spans="1:10" x14ac:dyDescent="0.2">
      <c r="A75" s="317" t="s">
        <v>1110</v>
      </c>
      <c r="B75" s="317" t="s">
        <v>318</v>
      </c>
      <c r="C75" s="318">
        <v>43677</v>
      </c>
      <c r="D75" s="319" t="s">
        <v>55</v>
      </c>
      <c r="E75" s="317" t="s">
        <v>1340</v>
      </c>
      <c r="F75" s="320" t="s">
        <v>1113</v>
      </c>
      <c r="G75" s="321">
        <v>5636</v>
      </c>
      <c r="H75" s="321"/>
      <c r="I75" s="322">
        <v>767.2</v>
      </c>
      <c r="J75" s="322"/>
    </row>
    <row r="76" spans="1:10" x14ac:dyDescent="0.2">
      <c r="A76" s="317" t="s">
        <v>1110</v>
      </c>
      <c r="B76" s="317" t="s">
        <v>318</v>
      </c>
      <c r="C76" s="318">
        <v>43677</v>
      </c>
      <c r="D76" s="319" t="s">
        <v>293</v>
      </c>
      <c r="E76" s="317" t="s">
        <v>1336</v>
      </c>
      <c r="F76" s="320" t="s">
        <v>1113</v>
      </c>
      <c r="G76" s="321">
        <v>5620</v>
      </c>
      <c r="H76" s="321"/>
      <c r="I76" s="322">
        <v>54.78</v>
      </c>
      <c r="J76" s="322"/>
    </row>
    <row r="77" spans="1:10" x14ac:dyDescent="0.2">
      <c r="A77" s="317" t="s">
        <v>1110</v>
      </c>
      <c r="B77" s="317" t="s">
        <v>318</v>
      </c>
      <c r="C77" s="318">
        <v>43677</v>
      </c>
      <c r="D77" s="319" t="s">
        <v>293</v>
      </c>
      <c r="E77" s="317" t="s">
        <v>1341</v>
      </c>
      <c r="F77" s="320" t="s">
        <v>1113</v>
      </c>
      <c r="G77" s="321">
        <v>5620</v>
      </c>
      <c r="H77" s="321"/>
      <c r="I77" s="322">
        <v>506.17</v>
      </c>
      <c r="J77" s="322"/>
    </row>
    <row r="78" spans="1:10" x14ac:dyDescent="0.2">
      <c r="A78" s="317" t="s">
        <v>1110</v>
      </c>
      <c r="B78" s="317" t="s">
        <v>318</v>
      </c>
      <c r="C78" s="318">
        <v>43677</v>
      </c>
      <c r="D78" s="319" t="s">
        <v>293</v>
      </c>
      <c r="E78" s="317" t="s">
        <v>1342</v>
      </c>
      <c r="F78" s="320" t="s">
        <v>1113</v>
      </c>
      <c r="G78" s="321">
        <v>5620</v>
      </c>
      <c r="H78" s="321"/>
      <c r="I78" s="322">
        <v>256.52</v>
      </c>
      <c r="J78" s="322"/>
    </row>
    <row r="79" spans="1:10" x14ac:dyDescent="0.2">
      <c r="A79" s="317" t="s">
        <v>1110</v>
      </c>
      <c r="B79" s="317" t="s">
        <v>318</v>
      </c>
      <c r="C79" s="318">
        <v>43677</v>
      </c>
      <c r="D79" s="319" t="s">
        <v>293</v>
      </c>
      <c r="E79" s="317" t="s">
        <v>1343</v>
      </c>
      <c r="F79" s="320" t="s">
        <v>1113</v>
      </c>
      <c r="G79" s="321">
        <v>5620</v>
      </c>
      <c r="H79" s="321"/>
      <c r="I79" s="322">
        <v>204.86</v>
      </c>
      <c r="J79" s="322"/>
    </row>
    <row r="80" spans="1:10" x14ac:dyDescent="0.2">
      <c r="A80" s="317" t="s">
        <v>1110</v>
      </c>
      <c r="B80" s="317" t="s">
        <v>318</v>
      </c>
      <c r="C80" s="318">
        <v>43677</v>
      </c>
      <c r="D80" s="319" t="s">
        <v>293</v>
      </c>
      <c r="E80" s="317" t="s">
        <v>1344</v>
      </c>
      <c r="F80" s="320" t="s">
        <v>1113</v>
      </c>
      <c r="G80" s="321">
        <v>5620</v>
      </c>
      <c r="H80" s="321"/>
      <c r="I80" s="322">
        <v>77.92</v>
      </c>
      <c r="J80" s="322"/>
    </row>
    <row r="81" spans="1:10" x14ac:dyDescent="0.2">
      <c r="A81" s="317" t="s">
        <v>1110</v>
      </c>
      <c r="B81" s="317" t="s">
        <v>318</v>
      </c>
      <c r="C81" s="318">
        <v>43677</v>
      </c>
      <c r="D81" s="319" t="s">
        <v>293</v>
      </c>
      <c r="E81" s="317" t="s">
        <v>1345</v>
      </c>
      <c r="F81" s="320" t="s">
        <v>1113</v>
      </c>
      <c r="G81" s="321">
        <v>5620</v>
      </c>
      <c r="H81" s="321"/>
      <c r="I81" s="322">
        <v>213.22</v>
      </c>
      <c r="J81" s="322"/>
    </row>
    <row r="82" spans="1:10" s="180" customFormat="1" x14ac:dyDescent="0.2">
      <c r="A82" s="317" t="s">
        <v>1110</v>
      </c>
      <c r="B82" s="317" t="s">
        <v>318</v>
      </c>
      <c r="C82" s="318">
        <v>43678</v>
      </c>
      <c r="D82" s="319" t="s">
        <v>55</v>
      </c>
      <c r="E82" s="317" t="s">
        <v>1340</v>
      </c>
      <c r="F82" s="320" t="s">
        <v>1113</v>
      </c>
      <c r="G82" s="321">
        <v>5637</v>
      </c>
      <c r="H82" s="321"/>
      <c r="I82" s="322"/>
      <c r="J82" s="322">
        <v>767.2</v>
      </c>
    </row>
    <row r="83" spans="1:10" x14ac:dyDescent="0.2">
      <c r="A83" s="317" t="s">
        <v>1110</v>
      </c>
      <c r="B83" s="317" t="s">
        <v>318</v>
      </c>
      <c r="C83" s="318">
        <v>43678</v>
      </c>
      <c r="D83" s="319" t="s">
        <v>293</v>
      </c>
      <c r="E83" s="317" t="s">
        <v>1336</v>
      </c>
      <c r="F83" s="320" t="s">
        <v>1113</v>
      </c>
      <c r="G83" s="321">
        <v>5640</v>
      </c>
      <c r="H83" s="321"/>
      <c r="I83" s="322"/>
      <c r="J83" s="322">
        <v>54.78</v>
      </c>
    </row>
    <row r="84" spans="1:10" x14ac:dyDescent="0.2">
      <c r="A84" s="317" t="s">
        <v>1110</v>
      </c>
      <c r="B84" s="317" t="s">
        <v>318</v>
      </c>
      <c r="C84" s="318">
        <v>43678</v>
      </c>
      <c r="D84" s="319" t="s">
        <v>293</v>
      </c>
      <c r="E84" s="317" t="s">
        <v>1341</v>
      </c>
      <c r="F84" s="320" t="s">
        <v>1113</v>
      </c>
      <c r="G84" s="321">
        <v>5640</v>
      </c>
      <c r="H84" s="321"/>
      <c r="I84" s="322"/>
      <c r="J84" s="322">
        <v>506.17</v>
      </c>
    </row>
    <row r="85" spans="1:10" x14ac:dyDescent="0.2">
      <c r="A85" s="317" t="s">
        <v>1110</v>
      </c>
      <c r="B85" s="317" t="s">
        <v>318</v>
      </c>
      <c r="C85" s="318">
        <v>43678</v>
      </c>
      <c r="D85" s="319" t="s">
        <v>293</v>
      </c>
      <c r="E85" s="317" t="s">
        <v>1342</v>
      </c>
      <c r="F85" s="320" t="s">
        <v>1113</v>
      </c>
      <c r="G85" s="321">
        <v>5640</v>
      </c>
      <c r="H85" s="321"/>
      <c r="I85" s="322"/>
      <c r="J85" s="322">
        <v>256.52</v>
      </c>
    </row>
    <row r="86" spans="1:10" x14ac:dyDescent="0.2">
      <c r="A86" s="317" t="s">
        <v>1110</v>
      </c>
      <c r="B86" s="317" t="s">
        <v>318</v>
      </c>
      <c r="C86" s="318">
        <v>43678</v>
      </c>
      <c r="D86" s="319" t="s">
        <v>293</v>
      </c>
      <c r="E86" s="317" t="s">
        <v>1343</v>
      </c>
      <c r="F86" s="320" t="s">
        <v>1113</v>
      </c>
      <c r="G86" s="321">
        <v>5640</v>
      </c>
      <c r="H86" s="321"/>
      <c r="I86" s="322"/>
      <c r="J86" s="322">
        <v>204.86</v>
      </c>
    </row>
    <row r="87" spans="1:10" x14ac:dyDescent="0.2">
      <c r="A87" s="317" t="s">
        <v>1110</v>
      </c>
      <c r="B87" s="317" t="s">
        <v>318</v>
      </c>
      <c r="C87" s="318">
        <v>43678</v>
      </c>
      <c r="D87" s="319" t="s">
        <v>293</v>
      </c>
      <c r="E87" s="317" t="s">
        <v>1344</v>
      </c>
      <c r="F87" s="320" t="s">
        <v>1113</v>
      </c>
      <c r="G87" s="321">
        <v>5640</v>
      </c>
      <c r="H87" s="321"/>
      <c r="I87" s="322"/>
      <c r="J87" s="322">
        <v>77.92</v>
      </c>
    </row>
    <row r="88" spans="1:10" x14ac:dyDescent="0.2">
      <c r="A88" s="317" t="s">
        <v>1110</v>
      </c>
      <c r="B88" s="317" t="s">
        <v>318</v>
      </c>
      <c r="C88" s="318">
        <v>43678</v>
      </c>
      <c r="D88" s="319" t="s">
        <v>293</v>
      </c>
      <c r="E88" s="317" t="s">
        <v>1345</v>
      </c>
      <c r="F88" s="320" t="s">
        <v>1113</v>
      </c>
      <c r="G88" s="321">
        <v>5640</v>
      </c>
      <c r="H88" s="321"/>
      <c r="I88" s="322"/>
      <c r="J88" s="322">
        <v>213.22</v>
      </c>
    </row>
    <row r="89" spans="1:10" x14ac:dyDescent="0.2">
      <c r="A89" s="317" t="s">
        <v>1110</v>
      </c>
      <c r="B89" s="317" t="s">
        <v>318</v>
      </c>
      <c r="C89" s="318">
        <v>43705</v>
      </c>
      <c r="D89" s="319" t="s">
        <v>293</v>
      </c>
      <c r="E89" s="317" t="s">
        <v>1336</v>
      </c>
      <c r="F89" s="320" t="s">
        <v>1113</v>
      </c>
      <c r="G89" s="321">
        <v>5648</v>
      </c>
      <c r="H89" s="321"/>
      <c r="I89" s="322">
        <v>54.78</v>
      </c>
      <c r="J89" s="322"/>
    </row>
    <row r="90" spans="1:10" x14ac:dyDescent="0.2">
      <c r="A90" s="317" t="s">
        <v>1110</v>
      </c>
      <c r="B90" s="317" t="s">
        <v>318</v>
      </c>
      <c r="C90" s="318">
        <v>43705</v>
      </c>
      <c r="D90" s="319" t="s">
        <v>293</v>
      </c>
      <c r="E90" s="317" t="s">
        <v>1341</v>
      </c>
      <c r="F90" s="320" t="s">
        <v>1113</v>
      </c>
      <c r="G90" s="321">
        <v>5648</v>
      </c>
      <c r="H90" s="321"/>
      <c r="I90" s="322">
        <v>506.17</v>
      </c>
      <c r="J90" s="322"/>
    </row>
    <row r="91" spans="1:10" x14ac:dyDescent="0.2">
      <c r="A91" s="317" t="s">
        <v>1110</v>
      </c>
      <c r="B91" s="317" t="s">
        <v>318</v>
      </c>
      <c r="C91" s="318">
        <v>43705</v>
      </c>
      <c r="D91" s="319" t="s">
        <v>293</v>
      </c>
      <c r="E91" s="317" t="s">
        <v>1342</v>
      </c>
      <c r="F91" s="320" t="s">
        <v>1113</v>
      </c>
      <c r="G91" s="321">
        <v>5648</v>
      </c>
      <c r="H91" s="321"/>
      <c r="I91" s="322">
        <v>256.52</v>
      </c>
      <c r="J91" s="322"/>
    </row>
    <row r="92" spans="1:10" x14ac:dyDescent="0.2">
      <c r="A92" s="317" t="s">
        <v>1110</v>
      </c>
      <c r="B92" s="317" t="s">
        <v>318</v>
      </c>
      <c r="C92" s="318">
        <v>43705</v>
      </c>
      <c r="D92" s="319" t="s">
        <v>293</v>
      </c>
      <c r="E92" s="317" t="s">
        <v>1343</v>
      </c>
      <c r="F92" s="320" t="s">
        <v>1113</v>
      </c>
      <c r="G92" s="321">
        <v>5648</v>
      </c>
      <c r="H92" s="321"/>
      <c r="I92" s="322">
        <v>204.86</v>
      </c>
      <c r="J92" s="322"/>
    </row>
    <row r="93" spans="1:10" x14ac:dyDescent="0.2">
      <c r="A93" s="317" t="s">
        <v>1110</v>
      </c>
      <c r="B93" s="317" t="s">
        <v>318</v>
      </c>
      <c r="C93" s="318">
        <v>43705</v>
      </c>
      <c r="D93" s="319" t="s">
        <v>293</v>
      </c>
      <c r="E93" s="317" t="s">
        <v>1344</v>
      </c>
      <c r="F93" s="320" t="s">
        <v>1113</v>
      </c>
      <c r="G93" s="321">
        <v>5648</v>
      </c>
      <c r="H93" s="321"/>
      <c r="I93" s="322">
        <v>77.92</v>
      </c>
      <c r="J93" s="322"/>
    </row>
    <row r="94" spans="1:10" x14ac:dyDescent="0.2">
      <c r="A94" s="317" t="s">
        <v>1110</v>
      </c>
      <c r="B94" s="317" t="s">
        <v>318</v>
      </c>
      <c r="C94" s="318">
        <v>43705</v>
      </c>
      <c r="D94" s="319" t="s">
        <v>293</v>
      </c>
      <c r="E94" s="317" t="s">
        <v>1345</v>
      </c>
      <c r="F94" s="320" t="s">
        <v>1113</v>
      </c>
      <c r="G94" s="321">
        <v>5648</v>
      </c>
      <c r="H94" s="321"/>
      <c r="I94" s="322">
        <v>213.22</v>
      </c>
      <c r="J94" s="322"/>
    </row>
    <row r="95" spans="1:10" x14ac:dyDescent="0.2">
      <c r="A95" s="317" t="s">
        <v>1110</v>
      </c>
      <c r="B95" s="317" t="s">
        <v>318</v>
      </c>
      <c r="C95" s="318">
        <v>43708</v>
      </c>
      <c r="D95" s="319" t="s">
        <v>293</v>
      </c>
      <c r="E95" s="317" t="s">
        <v>1346</v>
      </c>
      <c r="F95" s="320" t="s">
        <v>1113</v>
      </c>
      <c r="G95" s="321">
        <v>5672</v>
      </c>
      <c r="H95" s="321"/>
      <c r="I95" s="322">
        <v>1045.07</v>
      </c>
      <c r="J95" s="322"/>
    </row>
    <row r="96" spans="1:10" x14ac:dyDescent="0.2">
      <c r="A96" s="317" t="s">
        <v>1110</v>
      </c>
      <c r="B96" s="317" t="s">
        <v>318</v>
      </c>
      <c r="C96" s="318">
        <v>43708</v>
      </c>
      <c r="D96" s="319" t="s">
        <v>293</v>
      </c>
      <c r="E96" s="317" t="s">
        <v>1347</v>
      </c>
      <c r="F96" s="320" t="s">
        <v>1113</v>
      </c>
      <c r="G96" s="321">
        <v>5672</v>
      </c>
      <c r="H96" s="321"/>
      <c r="I96" s="322">
        <v>340.27</v>
      </c>
      <c r="J96" s="322"/>
    </row>
    <row r="97" spans="1:10" x14ac:dyDescent="0.2">
      <c r="A97" s="317" t="s">
        <v>1110</v>
      </c>
      <c r="B97" s="317" t="s">
        <v>318</v>
      </c>
      <c r="C97" s="318">
        <v>43708</v>
      </c>
      <c r="D97" s="319" t="s">
        <v>293</v>
      </c>
      <c r="E97" s="317" t="s">
        <v>1211</v>
      </c>
      <c r="F97" s="320" t="s">
        <v>1113</v>
      </c>
      <c r="G97" s="321">
        <v>5672</v>
      </c>
      <c r="H97" s="321"/>
      <c r="I97" s="322">
        <v>256.54000000000002</v>
      </c>
      <c r="J97" s="322"/>
    </row>
    <row r="98" spans="1:10" x14ac:dyDescent="0.2">
      <c r="A98" s="317" t="s">
        <v>1110</v>
      </c>
      <c r="B98" s="317" t="s">
        <v>318</v>
      </c>
      <c r="C98" s="318">
        <v>43709</v>
      </c>
      <c r="D98" s="319" t="s">
        <v>293</v>
      </c>
      <c r="E98" s="317" t="s">
        <v>1346</v>
      </c>
      <c r="F98" s="320" t="s">
        <v>1113</v>
      </c>
      <c r="G98" s="321">
        <v>5676</v>
      </c>
      <c r="H98" s="321"/>
      <c r="I98" s="322"/>
      <c r="J98" s="322">
        <v>1045.07</v>
      </c>
    </row>
    <row r="99" spans="1:10" x14ac:dyDescent="0.2">
      <c r="A99" s="317" t="s">
        <v>1110</v>
      </c>
      <c r="B99" s="317" t="s">
        <v>318</v>
      </c>
      <c r="C99" s="318">
        <v>43709</v>
      </c>
      <c r="D99" s="319" t="s">
        <v>293</v>
      </c>
      <c r="E99" s="317" t="s">
        <v>1347</v>
      </c>
      <c r="F99" s="320" t="s">
        <v>1113</v>
      </c>
      <c r="G99" s="321">
        <v>5676</v>
      </c>
      <c r="H99" s="321"/>
      <c r="I99" s="322"/>
      <c r="J99" s="322">
        <v>340.27</v>
      </c>
    </row>
    <row r="100" spans="1:10" x14ac:dyDescent="0.2">
      <c r="A100" s="317" t="s">
        <v>1110</v>
      </c>
      <c r="B100" s="317" t="s">
        <v>318</v>
      </c>
      <c r="C100" s="318">
        <v>43709</v>
      </c>
      <c r="D100" s="319" t="s">
        <v>293</v>
      </c>
      <c r="E100" s="317" t="s">
        <v>1211</v>
      </c>
      <c r="F100" s="320" t="s">
        <v>1113</v>
      </c>
      <c r="G100" s="321">
        <v>5676</v>
      </c>
      <c r="H100" s="321"/>
      <c r="I100" s="322"/>
      <c r="J100" s="322">
        <v>256.54000000000002</v>
      </c>
    </row>
    <row r="101" spans="1:10" s="194" customFormat="1" x14ac:dyDescent="0.2">
      <c r="A101" s="357" t="s">
        <v>1110</v>
      </c>
      <c r="B101" s="357" t="s">
        <v>318</v>
      </c>
      <c r="C101" s="358">
        <v>43728</v>
      </c>
      <c r="D101" s="359" t="s">
        <v>293</v>
      </c>
      <c r="E101" s="357" t="s">
        <v>1346</v>
      </c>
      <c r="F101" s="360" t="s">
        <v>1113</v>
      </c>
      <c r="G101" s="361">
        <v>5705</v>
      </c>
      <c r="H101" s="361"/>
      <c r="I101" s="362">
        <v>1045.07</v>
      </c>
      <c r="J101" s="362"/>
    </row>
    <row r="102" spans="1:10" x14ac:dyDescent="0.2">
      <c r="A102" s="317" t="s">
        <v>1110</v>
      </c>
      <c r="B102" s="317" t="s">
        <v>318</v>
      </c>
      <c r="C102" s="318">
        <v>43728</v>
      </c>
      <c r="D102" s="319" t="s">
        <v>293</v>
      </c>
      <c r="E102" s="317" t="s">
        <v>1347</v>
      </c>
      <c r="F102" s="320" t="s">
        <v>1113</v>
      </c>
      <c r="G102" s="321">
        <v>5705</v>
      </c>
      <c r="H102" s="321"/>
      <c r="I102" s="322">
        <v>340.27</v>
      </c>
      <c r="J102" s="322"/>
    </row>
    <row r="103" spans="1:10" x14ac:dyDescent="0.2">
      <c r="A103" s="317" t="s">
        <v>1110</v>
      </c>
      <c r="B103" s="317" t="s">
        <v>318</v>
      </c>
      <c r="C103" s="318">
        <v>43728</v>
      </c>
      <c r="D103" s="319" t="s">
        <v>293</v>
      </c>
      <c r="E103" s="317" t="s">
        <v>1211</v>
      </c>
      <c r="F103" s="320" t="s">
        <v>1113</v>
      </c>
      <c r="G103" s="321">
        <v>5705</v>
      </c>
      <c r="H103" s="321"/>
      <c r="I103" s="322">
        <v>256.54000000000002</v>
      </c>
      <c r="J103" s="322"/>
    </row>
    <row r="104" spans="1:10" x14ac:dyDescent="0.2">
      <c r="A104" s="317" t="s">
        <v>1110</v>
      </c>
      <c r="B104" s="317" t="s">
        <v>318</v>
      </c>
      <c r="C104" s="318">
        <v>43738</v>
      </c>
      <c r="D104" s="319" t="s">
        <v>293</v>
      </c>
      <c r="E104" s="317" t="s">
        <v>1208</v>
      </c>
      <c r="F104" s="320" t="s">
        <v>1113</v>
      </c>
      <c r="G104" s="321">
        <v>5726</v>
      </c>
      <c r="H104" s="321"/>
      <c r="I104" s="322">
        <v>334</v>
      </c>
      <c r="J104" s="322"/>
    </row>
    <row r="105" spans="1:10" x14ac:dyDescent="0.2">
      <c r="A105" s="317" t="s">
        <v>1110</v>
      </c>
      <c r="B105" s="317" t="s">
        <v>318</v>
      </c>
      <c r="C105" s="318">
        <v>43738</v>
      </c>
      <c r="D105" s="319" t="s">
        <v>293</v>
      </c>
      <c r="E105" s="317" t="s">
        <v>1209</v>
      </c>
      <c r="F105" s="320" t="s">
        <v>1113</v>
      </c>
      <c r="G105" s="321">
        <v>5726</v>
      </c>
      <c r="H105" s="321"/>
      <c r="I105" s="322">
        <v>184.26</v>
      </c>
      <c r="J105" s="322"/>
    </row>
    <row r="106" spans="1:10" x14ac:dyDescent="0.2">
      <c r="A106" s="317" t="s">
        <v>1110</v>
      </c>
      <c r="B106" s="317" t="s">
        <v>318</v>
      </c>
      <c r="C106" s="318">
        <v>43738</v>
      </c>
      <c r="D106" s="319" t="s">
        <v>293</v>
      </c>
      <c r="E106" s="317" t="s">
        <v>1210</v>
      </c>
      <c r="F106" s="320" t="s">
        <v>1113</v>
      </c>
      <c r="G106" s="321">
        <v>5726</v>
      </c>
      <c r="H106" s="321"/>
      <c r="I106" s="322">
        <v>308.18</v>
      </c>
      <c r="J106" s="322"/>
    </row>
    <row r="107" spans="1:10" x14ac:dyDescent="0.2">
      <c r="A107" s="317" t="s">
        <v>1110</v>
      </c>
      <c r="B107" s="317" t="s">
        <v>318</v>
      </c>
      <c r="C107" s="318">
        <v>43738</v>
      </c>
      <c r="D107" s="319" t="s">
        <v>293</v>
      </c>
      <c r="E107" s="317" t="s">
        <v>1192</v>
      </c>
      <c r="F107" s="320" t="s">
        <v>1113</v>
      </c>
      <c r="G107" s="321">
        <v>5726</v>
      </c>
      <c r="H107" s="321"/>
      <c r="I107" s="322">
        <v>322</v>
      </c>
      <c r="J107" s="322"/>
    </row>
    <row r="108" spans="1:10" x14ac:dyDescent="0.2">
      <c r="A108" s="317" t="s">
        <v>1110</v>
      </c>
      <c r="B108" s="317" t="s">
        <v>318</v>
      </c>
      <c r="C108" s="318">
        <v>43739</v>
      </c>
      <c r="D108" s="319" t="s">
        <v>293</v>
      </c>
      <c r="E108" s="317" t="s">
        <v>1208</v>
      </c>
      <c r="F108" s="320" t="s">
        <v>1113</v>
      </c>
      <c r="G108" s="321">
        <v>5737</v>
      </c>
      <c r="H108" s="321"/>
      <c r="I108" s="322"/>
      <c r="J108" s="322">
        <v>334</v>
      </c>
    </row>
    <row r="109" spans="1:10" x14ac:dyDescent="0.2">
      <c r="A109" s="317" t="s">
        <v>1110</v>
      </c>
      <c r="B109" s="317" t="s">
        <v>318</v>
      </c>
      <c r="C109" s="318">
        <v>43739</v>
      </c>
      <c r="D109" s="319" t="s">
        <v>293</v>
      </c>
      <c r="E109" s="317" t="s">
        <v>1209</v>
      </c>
      <c r="F109" s="320" t="s">
        <v>1113</v>
      </c>
      <c r="G109" s="321">
        <v>5737</v>
      </c>
      <c r="H109" s="321"/>
      <c r="I109" s="322"/>
      <c r="J109" s="322">
        <v>184.26</v>
      </c>
    </row>
    <row r="110" spans="1:10" x14ac:dyDescent="0.2">
      <c r="A110" s="317" t="s">
        <v>1110</v>
      </c>
      <c r="B110" s="317" t="s">
        <v>318</v>
      </c>
      <c r="C110" s="318">
        <v>43739</v>
      </c>
      <c r="D110" s="319" t="s">
        <v>293</v>
      </c>
      <c r="E110" s="317" t="s">
        <v>1210</v>
      </c>
      <c r="F110" s="320" t="s">
        <v>1113</v>
      </c>
      <c r="G110" s="321">
        <v>5737</v>
      </c>
      <c r="H110" s="321"/>
      <c r="I110" s="322"/>
      <c r="J110" s="322">
        <v>308.18</v>
      </c>
    </row>
    <row r="111" spans="1:10" x14ac:dyDescent="0.2">
      <c r="A111" s="317" t="s">
        <v>1110</v>
      </c>
      <c r="B111" s="317" t="s">
        <v>318</v>
      </c>
      <c r="C111" s="318">
        <v>43739</v>
      </c>
      <c r="D111" s="319" t="s">
        <v>293</v>
      </c>
      <c r="E111" s="317" t="s">
        <v>1192</v>
      </c>
      <c r="F111" s="320" t="s">
        <v>1113</v>
      </c>
      <c r="G111" s="321">
        <v>5737</v>
      </c>
      <c r="H111" s="321"/>
      <c r="I111" s="322"/>
      <c r="J111" s="322">
        <v>322</v>
      </c>
    </row>
    <row r="112" spans="1:10" x14ac:dyDescent="0.2">
      <c r="A112" s="317" t="s">
        <v>1110</v>
      </c>
      <c r="B112" s="317" t="s">
        <v>318</v>
      </c>
      <c r="C112" s="318">
        <v>43769</v>
      </c>
      <c r="D112" s="319" t="s">
        <v>293</v>
      </c>
      <c r="E112" s="317" t="s">
        <v>1192</v>
      </c>
      <c r="F112" s="320" t="s">
        <v>1113</v>
      </c>
      <c r="G112" s="321">
        <v>5786</v>
      </c>
      <c r="H112" s="321"/>
      <c r="I112" s="322">
        <v>43.48</v>
      </c>
      <c r="J112" s="322"/>
    </row>
    <row r="113" spans="1:13" x14ac:dyDescent="0.2">
      <c r="A113" s="317" t="s">
        <v>1110</v>
      </c>
      <c r="B113" s="317" t="s">
        <v>318</v>
      </c>
      <c r="C113" s="318">
        <v>43769</v>
      </c>
      <c r="D113" s="319" t="s">
        <v>293</v>
      </c>
      <c r="E113" s="317" t="s">
        <v>1193</v>
      </c>
      <c r="F113" s="320" t="s">
        <v>1113</v>
      </c>
      <c r="G113" s="321">
        <v>5786</v>
      </c>
      <c r="H113" s="321"/>
      <c r="I113" s="322">
        <v>202.1</v>
      </c>
      <c r="J113" s="322"/>
    </row>
    <row r="114" spans="1:13" x14ac:dyDescent="0.2">
      <c r="A114" s="317" t="s">
        <v>1110</v>
      </c>
      <c r="B114" s="317" t="s">
        <v>318</v>
      </c>
      <c r="C114" s="318">
        <v>43769</v>
      </c>
      <c r="D114" s="319" t="s">
        <v>293</v>
      </c>
      <c r="E114" s="317" t="s">
        <v>1194</v>
      </c>
      <c r="F114" s="320" t="s">
        <v>1113</v>
      </c>
      <c r="G114" s="321">
        <v>5786</v>
      </c>
      <c r="H114" s="321"/>
      <c r="I114" s="322">
        <v>130.43</v>
      </c>
      <c r="J114" s="322"/>
    </row>
    <row r="115" spans="1:13" x14ac:dyDescent="0.2">
      <c r="A115" s="317" t="s">
        <v>1110</v>
      </c>
      <c r="B115" s="317" t="s">
        <v>318</v>
      </c>
      <c r="C115" s="318">
        <v>43769</v>
      </c>
      <c r="D115" s="319" t="s">
        <v>293</v>
      </c>
      <c r="E115" s="317" t="s">
        <v>1195</v>
      </c>
      <c r="F115" s="320" t="s">
        <v>1113</v>
      </c>
      <c r="G115" s="321">
        <v>5786</v>
      </c>
      <c r="H115" s="321"/>
      <c r="I115" s="322">
        <v>159.05000000000001</v>
      </c>
      <c r="J115" s="322"/>
    </row>
    <row r="116" spans="1:13" x14ac:dyDescent="0.2">
      <c r="A116" s="317" t="s">
        <v>1110</v>
      </c>
      <c r="B116" s="317" t="s">
        <v>318</v>
      </c>
      <c r="C116" s="318">
        <v>43769</v>
      </c>
      <c r="D116" s="319" t="s">
        <v>293</v>
      </c>
      <c r="E116" s="317" t="s">
        <v>1196</v>
      </c>
      <c r="F116" s="320" t="s">
        <v>1113</v>
      </c>
      <c r="G116" s="321">
        <v>5786</v>
      </c>
      <c r="H116" s="321"/>
      <c r="I116" s="322">
        <v>133.31</v>
      </c>
      <c r="J116" s="322"/>
    </row>
    <row r="117" spans="1:13" x14ac:dyDescent="0.2">
      <c r="A117" s="317" t="s">
        <v>1110</v>
      </c>
      <c r="B117" s="317" t="s">
        <v>318</v>
      </c>
      <c r="C117" s="318">
        <v>43768</v>
      </c>
      <c r="D117" s="319" t="s">
        <v>293</v>
      </c>
      <c r="E117" s="317" t="s">
        <v>1208</v>
      </c>
      <c r="F117" s="320" t="s">
        <v>1113</v>
      </c>
      <c r="G117" s="321">
        <v>5769</v>
      </c>
      <c r="H117" s="321"/>
      <c r="I117" s="322">
        <v>334</v>
      </c>
      <c r="J117" s="322"/>
    </row>
    <row r="118" spans="1:13" x14ac:dyDescent="0.2">
      <c r="A118" s="317" t="s">
        <v>1110</v>
      </c>
      <c r="B118" s="317" t="s">
        <v>318</v>
      </c>
      <c r="C118" s="318">
        <v>43768</v>
      </c>
      <c r="D118" s="319" t="s">
        <v>293</v>
      </c>
      <c r="E118" s="317" t="s">
        <v>1209</v>
      </c>
      <c r="F118" s="320" t="s">
        <v>1113</v>
      </c>
      <c r="G118" s="321">
        <v>5769</v>
      </c>
      <c r="H118" s="321"/>
      <c r="I118" s="322">
        <v>184.26</v>
      </c>
      <c r="J118" s="322"/>
    </row>
    <row r="119" spans="1:13" x14ac:dyDescent="0.2">
      <c r="A119" s="317" t="s">
        <v>1110</v>
      </c>
      <c r="B119" s="317" t="s">
        <v>318</v>
      </c>
      <c r="C119" s="318">
        <v>43768</v>
      </c>
      <c r="D119" s="319" t="s">
        <v>293</v>
      </c>
      <c r="E119" s="317" t="s">
        <v>1210</v>
      </c>
      <c r="F119" s="320" t="s">
        <v>1113</v>
      </c>
      <c r="G119" s="321">
        <v>5769</v>
      </c>
      <c r="H119" s="321"/>
      <c r="I119" s="322">
        <v>308.18</v>
      </c>
      <c r="J119" s="322"/>
    </row>
    <row r="120" spans="1:13" x14ac:dyDescent="0.2">
      <c r="A120" s="317" t="s">
        <v>1110</v>
      </c>
      <c r="B120" s="317" t="s">
        <v>318</v>
      </c>
      <c r="C120" s="318">
        <v>43768</v>
      </c>
      <c r="D120" s="319" t="s">
        <v>293</v>
      </c>
      <c r="E120" s="317" t="s">
        <v>1192</v>
      </c>
      <c r="F120" s="320" t="s">
        <v>1113</v>
      </c>
      <c r="G120" s="321">
        <v>5769</v>
      </c>
      <c r="H120" s="321"/>
      <c r="I120" s="322">
        <v>322</v>
      </c>
      <c r="J120" s="322"/>
    </row>
    <row r="121" spans="1:13" x14ac:dyDescent="0.2">
      <c r="A121" s="306"/>
      <c r="B121" s="306"/>
      <c r="C121" s="306"/>
      <c r="D121" s="306"/>
      <c r="E121" s="306"/>
      <c r="F121" s="306"/>
      <c r="G121" s="306"/>
      <c r="H121" s="306"/>
      <c r="I121" s="323">
        <v>12717.320000000002</v>
      </c>
      <c r="J121" s="323">
        <v>7161.3499999999995</v>
      </c>
    </row>
    <row r="122" spans="1:13" x14ac:dyDescent="0.2">
      <c r="A122" s="306"/>
      <c r="B122" s="306"/>
      <c r="C122" s="306"/>
      <c r="D122" s="306"/>
      <c r="E122" s="306"/>
      <c r="F122" s="306"/>
      <c r="G122" s="306"/>
      <c r="H122" s="366" t="s">
        <v>1348</v>
      </c>
      <c r="I122" s="367">
        <f>I54+I57+I58+I73+I101</f>
        <v>2497.34</v>
      </c>
      <c r="J122" s="363"/>
      <c r="K122" s="364"/>
      <c r="M122" s="364"/>
    </row>
    <row r="123" spans="1:13" x14ac:dyDescent="0.2">
      <c r="A123" s="316" t="s">
        <v>1132</v>
      </c>
      <c r="B123" s="311"/>
      <c r="C123" s="311"/>
      <c r="D123" s="311"/>
      <c r="E123" s="311"/>
      <c r="F123" s="311"/>
      <c r="G123" s="311"/>
      <c r="H123" s="311"/>
      <c r="I123" s="311"/>
      <c r="J123" s="311"/>
    </row>
    <row r="124" spans="1:13" x14ac:dyDescent="0.2">
      <c r="A124" s="317" t="s">
        <v>1133</v>
      </c>
      <c r="B124" s="317" t="s">
        <v>318</v>
      </c>
      <c r="C124" s="318">
        <v>43708</v>
      </c>
      <c r="D124" s="319" t="s">
        <v>1134</v>
      </c>
      <c r="E124" s="317" t="s">
        <v>1349</v>
      </c>
      <c r="F124" s="320" t="s">
        <v>1113</v>
      </c>
      <c r="G124" s="321">
        <v>5687</v>
      </c>
      <c r="H124" s="321"/>
      <c r="I124" s="322">
        <v>255.56</v>
      </c>
      <c r="J124" s="322"/>
    </row>
    <row r="125" spans="1:13" x14ac:dyDescent="0.2">
      <c r="A125" s="317" t="s">
        <v>1133</v>
      </c>
      <c r="B125" s="317" t="s">
        <v>318</v>
      </c>
      <c r="C125" s="318">
        <v>43709</v>
      </c>
      <c r="D125" s="319" t="s">
        <v>1134</v>
      </c>
      <c r="E125" s="317" t="s">
        <v>1349</v>
      </c>
      <c r="F125" s="320" t="s">
        <v>1113</v>
      </c>
      <c r="G125" s="321">
        <v>5698</v>
      </c>
      <c r="H125" s="321"/>
      <c r="I125" s="322"/>
      <c r="J125" s="322">
        <v>255.56</v>
      </c>
    </row>
    <row r="126" spans="1:13" x14ac:dyDescent="0.2">
      <c r="A126" s="317" t="s">
        <v>1133</v>
      </c>
      <c r="B126" s="317" t="s">
        <v>318</v>
      </c>
      <c r="C126" s="318">
        <v>43727</v>
      </c>
      <c r="D126" s="319" t="s">
        <v>1350</v>
      </c>
      <c r="E126" s="317" t="s">
        <v>1351</v>
      </c>
      <c r="F126" s="320" t="s">
        <v>1113</v>
      </c>
      <c r="G126" s="321">
        <v>5710</v>
      </c>
      <c r="H126" s="321"/>
      <c r="I126" s="322">
        <v>16</v>
      </c>
      <c r="J126" s="322"/>
    </row>
    <row r="127" spans="1:13" s="194" customFormat="1" x14ac:dyDescent="0.2">
      <c r="A127" s="357" t="s">
        <v>1133</v>
      </c>
      <c r="B127" s="357" t="s">
        <v>318</v>
      </c>
      <c r="C127" s="358">
        <v>43727</v>
      </c>
      <c r="D127" s="359" t="s">
        <v>1319</v>
      </c>
      <c r="E127" s="357" t="s">
        <v>1352</v>
      </c>
      <c r="F127" s="360" t="s">
        <v>1113</v>
      </c>
      <c r="G127" s="361">
        <v>5710</v>
      </c>
      <c r="H127" s="361"/>
      <c r="I127" s="362">
        <v>90.91</v>
      </c>
      <c r="J127" s="362"/>
    </row>
    <row r="128" spans="1:13" s="194" customFormat="1" x14ac:dyDescent="0.2">
      <c r="A128" s="357" t="s">
        <v>1133</v>
      </c>
      <c r="B128" s="357" t="s">
        <v>318</v>
      </c>
      <c r="C128" s="358">
        <v>43727</v>
      </c>
      <c r="D128" s="359" t="s">
        <v>1319</v>
      </c>
      <c r="E128" s="357" t="s">
        <v>1353</v>
      </c>
      <c r="F128" s="360" t="s">
        <v>1113</v>
      </c>
      <c r="G128" s="361">
        <v>5710</v>
      </c>
      <c r="H128" s="361"/>
      <c r="I128" s="362">
        <v>145.22</v>
      </c>
      <c r="J128" s="362"/>
    </row>
    <row r="129" spans="1:10" s="194" customFormat="1" x14ac:dyDescent="0.2">
      <c r="A129" s="357" t="s">
        <v>1133</v>
      </c>
      <c r="B129" s="357" t="s">
        <v>318</v>
      </c>
      <c r="C129" s="358">
        <v>43727</v>
      </c>
      <c r="D129" s="359" t="s">
        <v>1319</v>
      </c>
      <c r="E129" s="357" t="s">
        <v>1354</v>
      </c>
      <c r="F129" s="360" t="s">
        <v>1113</v>
      </c>
      <c r="G129" s="361">
        <v>5710</v>
      </c>
      <c r="H129" s="361"/>
      <c r="I129" s="362">
        <v>20</v>
      </c>
      <c r="J129" s="362"/>
    </row>
    <row r="130" spans="1:10" s="194" customFormat="1" x14ac:dyDescent="0.2">
      <c r="A130" s="357" t="s">
        <v>1133</v>
      </c>
      <c r="B130" s="357" t="s">
        <v>1158</v>
      </c>
      <c r="C130" s="358">
        <v>43727</v>
      </c>
      <c r="D130" s="359" t="s">
        <v>1319</v>
      </c>
      <c r="E130" s="357" t="s">
        <v>1355</v>
      </c>
      <c r="F130" s="360" t="s">
        <v>1113</v>
      </c>
      <c r="G130" s="361">
        <v>5709</v>
      </c>
      <c r="H130" s="361"/>
      <c r="I130" s="362">
        <v>23.83</v>
      </c>
      <c r="J130" s="362"/>
    </row>
    <row r="131" spans="1:10" s="194" customFormat="1" x14ac:dyDescent="0.2">
      <c r="A131" s="357" t="s">
        <v>1133</v>
      </c>
      <c r="B131" s="357" t="s">
        <v>1158</v>
      </c>
      <c r="C131" s="358">
        <v>43727</v>
      </c>
      <c r="D131" s="359" t="s">
        <v>1319</v>
      </c>
      <c r="E131" s="357" t="s">
        <v>1356</v>
      </c>
      <c r="F131" s="360" t="s">
        <v>1113</v>
      </c>
      <c r="G131" s="361">
        <v>5709</v>
      </c>
      <c r="H131" s="361"/>
      <c r="I131" s="362">
        <v>32.17</v>
      </c>
      <c r="J131" s="362"/>
    </row>
    <row r="132" spans="1:10" s="194" customFormat="1" x14ac:dyDescent="0.2">
      <c r="A132" s="357" t="s">
        <v>1133</v>
      </c>
      <c r="B132" s="357" t="s">
        <v>1158</v>
      </c>
      <c r="C132" s="358">
        <v>43727</v>
      </c>
      <c r="D132" s="359" t="s">
        <v>1319</v>
      </c>
      <c r="E132" s="357" t="s">
        <v>1357</v>
      </c>
      <c r="F132" s="360" t="s">
        <v>1113</v>
      </c>
      <c r="G132" s="361">
        <v>5709</v>
      </c>
      <c r="H132" s="361"/>
      <c r="I132" s="362">
        <v>185.79</v>
      </c>
      <c r="J132" s="362"/>
    </row>
    <row r="133" spans="1:10" s="194" customFormat="1" x14ac:dyDescent="0.2">
      <c r="A133" s="357" t="s">
        <v>1133</v>
      </c>
      <c r="B133" s="357" t="s">
        <v>1158</v>
      </c>
      <c r="C133" s="358">
        <v>43727</v>
      </c>
      <c r="D133" s="359" t="s">
        <v>1319</v>
      </c>
      <c r="E133" s="357" t="s">
        <v>1358</v>
      </c>
      <c r="F133" s="360" t="s">
        <v>1113</v>
      </c>
      <c r="G133" s="361">
        <v>5709</v>
      </c>
      <c r="H133" s="361"/>
      <c r="I133" s="362">
        <v>9.0399999999999991</v>
      </c>
      <c r="J133" s="362"/>
    </row>
    <row r="134" spans="1:10" x14ac:dyDescent="0.2">
      <c r="A134" s="317" t="s">
        <v>1359</v>
      </c>
      <c r="B134" s="317" t="s">
        <v>318</v>
      </c>
      <c r="C134" s="318">
        <v>43769</v>
      </c>
      <c r="D134" s="319" t="s">
        <v>1174</v>
      </c>
      <c r="E134" s="317" t="s">
        <v>1360</v>
      </c>
      <c r="F134" s="320" t="s">
        <v>1113</v>
      </c>
      <c r="G134" s="321">
        <v>5806</v>
      </c>
      <c r="H134" s="321"/>
      <c r="I134" s="322">
        <v>4.4800000000000004</v>
      </c>
      <c r="J134" s="322"/>
    </row>
    <row r="135" spans="1:10" x14ac:dyDescent="0.2">
      <c r="A135" s="317" t="s">
        <v>493</v>
      </c>
      <c r="B135" s="317" t="s">
        <v>318</v>
      </c>
      <c r="C135" s="318">
        <v>43677</v>
      </c>
      <c r="D135" s="319" t="s">
        <v>1361</v>
      </c>
      <c r="E135" s="317" t="s">
        <v>1340</v>
      </c>
      <c r="F135" s="320" t="s">
        <v>1113</v>
      </c>
      <c r="G135" s="321">
        <v>5636</v>
      </c>
      <c r="H135" s="321"/>
      <c r="I135" s="322">
        <v>590.34</v>
      </c>
      <c r="J135" s="322"/>
    </row>
    <row r="136" spans="1:10" x14ac:dyDescent="0.2">
      <c r="A136" s="317" t="s">
        <v>493</v>
      </c>
      <c r="B136" s="317" t="s">
        <v>318</v>
      </c>
      <c r="C136" s="318">
        <v>43678</v>
      </c>
      <c r="D136" s="319" t="s">
        <v>1361</v>
      </c>
      <c r="E136" s="317" t="s">
        <v>1340</v>
      </c>
      <c r="F136" s="320" t="s">
        <v>1113</v>
      </c>
      <c r="G136" s="321">
        <v>5637</v>
      </c>
      <c r="H136" s="321"/>
      <c r="I136" s="322"/>
      <c r="J136" s="322">
        <v>590.34</v>
      </c>
    </row>
    <row r="137" spans="1:10" x14ac:dyDescent="0.2">
      <c r="A137" s="317" t="s">
        <v>493</v>
      </c>
      <c r="B137" s="317" t="s">
        <v>318</v>
      </c>
      <c r="C137" s="318">
        <v>43708</v>
      </c>
      <c r="D137" s="319" t="s">
        <v>1174</v>
      </c>
      <c r="E137" s="317" t="s">
        <v>1349</v>
      </c>
      <c r="F137" s="320" t="s">
        <v>1113</v>
      </c>
      <c r="G137" s="321">
        <v>5687</v>
      </c>
      <c r="H137" s="321"/>
      <c r="I137" s="322">
        <v>1352.8</v>
      </c>
      <c r="J137" s="322"/>
    </row>
    <row r="138" spans="1:10" x14ac:dyDescent="0.2">
      <c r="A138" s="317" t="s">
        <v>493</v>
      </c>
      <c r="B138" s="317" t="s">
        <v>318</v>
      </c>
      <c r="C138" s="318">
        <v>43709</v>
      </c>
      <c r="D138" s="319" t="s">
        <v>1174</v>
      </c>
      <c r="E138" s="317" t="s">
        <v>1349</v>
      </c>
      <c r="F138" s="320" t="s">
        <v>1113</v>
      </c>
      <c r="G138" s="321">
        <v>5698</v>
      </c>
      <c r="H138" s="321"/>
      <c r="I138" s="322"/>
      <c r="J138" s="322">
        <v>1352.8</v>
      </c>
    </row>
    <row r="139" spans="1:10" s="194" customFormat="1" x14ac:dyDescent="0.2">
      <c r="A139" s="357" t="s">
        <v>493</v>
      </c>
      <c r="B139" s="357" t="s">
        <v>318</v>
      </c>
      <c r="C139" s="358">
        <v>43727</v>
      </c>
      <c r="D139" s="359" t="s">
        <v>1319</v>
      </c>
      <c r="E139" s="357" t="s">
        <v>1362</v>
      </c>
      <c r="F139" s="360" t="s">
        <v>1113</v>
      </c>
      <c r="G139" s="361">
        <v>5710</v>
      </c>
      <c r="H139" s="361"/>
      <c r="I139" s="362">
        <v>58.26</v>
      </c>
      <c r="J139" s="362"/>
    </row>
    <row r="140" spans="1:10" s="194" customFormat="1" x14ac:dyDescent="0.2">
      <c r="A140" s="357" t="s">
        <v>493</v>
      </c>
      <c r="B140" s="357" t="s">
        <v>318</v>
      </c>
      <c r="C140" s="358">
        <v>43727</v>
      </c>
      <c r="D140" s="359" t="s">
        <v>1319</v>
      </c>
      <c r="E140" s="357" t="s">
        <v>1363</v>
      </c>
      <c r="F140" s="360" t="s">
        <v>1113</v>
      </c>
      <c r="G140" s="361">
        <v>5710</v>
      </c>
      <c r="H140" s="361"/>
      <c r="I140" s="362">
        <v>17.100000000000001</v>
      </c>
      <c r="J140" s="362"/>
    </row>
    <row r="141" spans="1:10" s="194" customFormat="1" x14ac:dyDescent="0.2">
      <c r="A141" s="357" t="s">
        <v>493</v>
      </c>
      <c r="B141" s="357" t="s">
        <v>318</v>
      </c>
      <c r="C141" s="358">
        <v>43727</v>
      </c>
      <c r="D141" s="359" t="s">
        <v>1319</v>
      </c>
      <c r="E141" s="357" t="s">
        <v>1364</v>
      </c>
      <c r="F141" s="360" t="s">
        <v>1113</v>
      </c>
      <c r="G141" s="361">
        <v>5710</v>
      </c>
      <c r="H141" s="361"/>
      <c r="I141" s="362">
        <v>50.87</v>
      </c>
      <c r="J141" s="362"/>
    </row>
    <row r="142" spans="1:10" s="194" customFormat="1" x14ac:dyDescent="0.2">
      <c r="A142" s="357" t="s">
        <v>493</v>
      </c>
      <c r="B142" s="357" t="s">
        <v>318</v>
      </c>
      <c r="C142" s="358">
        <v>43727</v>
      </c>
      <c r="D142" s="359" t="s">
        <v>1319</v>
      </c>
      <c r="E142" s="357" t="s">
        <v>1365</v>
      </c>
      <c r="F142" s="360" t="s">
        <v>1113</v>
      </c>
      <c r="G142" s="361">
        <v>5710</v>
      </c>
      <c r="H142" s="361"/>
      <c r="I142" s="362">
        <v>30.43</v>
      </c>
      <c r="J142" s="362"/>
    </row>
    <row r="143" spans="1:10" x14ac:dyDescent="0.2">
      <c r="A143" s="317" t="s">
        <v>493</v>
      </c>
      <c r="B143" s="317" t="s">
        <v>318</v>
      </c>
      <c r="C143" s="318">
        <v>43738</v>
      </c>
      <c r="D143" s="319" t="s">
        <v>1174</v>
      </c>
      <c r="E143" s="317" t="s">
        <v>1366</v>
      </c>
      <c r="F143" s="320" t="s">
        <v>1113</v>
      </c>
      <c r="G143" s="321">
        <v>5729</v>
      </c>
      <c r="H143" s="321"/>
      <c r="I143" s="322">
        <v>129.62</v>
      </c>
      <c r="J143" s="322"/>
    </row>
    <row r="144" spans="1:10" x14ac:dyDescent="0.2">
      <c r="A144" s="317" t="s">
        <v>493</v>
      </c>
      <c r="B144" s="317" t="s">
        <v>318</v>
      </c>
      <c r="C144" s="318">
        <v>43739</v>
      </c>
      <c r="D144" s="319" t="s">
        <v>1174</v>
      </c>
      <c r="E144" s="317" t="s">
        <v>1366</v>
      </c>
      <c r="F144" s="320" t="s">
        <v>1113</v>
      </c>
      <c r="G144" s="321">
        <v>5743</v>
      </c>
      <c r="H144" s="321"/>
      <c r="I144" s="322"/>
      <c r="J144" s="322">
        <v>129.62</v>
      </c>
    </row>
    <row r="145" spans="1:10" s="194" customFormat="1" x14ac:dyDescent="0.2">
      <c r="A145" s="357" t="s">
        <v>1367</v>
      </c>
      <c r="B145" s="357" t="s">
        <v>318</v>
      </c>
      <c r="C145" s="358">
        <v>43727</v>
      </c>
      <c r="D145" s="359" t="s">
        <v>1319</v>
      </c>
      <c r="E145" s="357" t="s">
        <v>1368</v>
      </c>
      <c r="F145" s="360" t="s">
        <v>1113</v>
      </c>
      <c r="G145" s="361">
        <v>5710</v>
      </c>
      <c r="H145" s="361"/>
      <c r="I145" s="362">
        <v>8.26</v>
      </c>
      <c r="J145" s="362"/>
    </row>
    <row r="146" spans="1:10" s="194" customFormat="1" x14ac:dyDescent="0.2">
      <c r="A146" s="357" t="s">
        <v>1367</v>
      </c>
      <c r="B146" s="357" t="s">
        <v>318</v>
      </c>
      <c r="C146" s="358">
        <v>43727</v>
      </c>
      <c r="D146" s="359" t="s">
        <v>1319</v>
      </c>
      <c r="E146" s="357" t="s">
        <v>1369</v>
      </c>
      <c r="F146" s="360" t="s">
        <v>1113</v>
      </c>
      <c r="G146" s="361">
        <v>5710</v>
      </c>
      <c r="H146" s="361"/>
      <c r="I146" s="362">
        <v>22.26</v>
      </c>
      <c r="J146" s="362"/>
    </row>
    <row r="147" spans="1:10" s="194" customFormat="1" x14ac:dyDescent="0.2">
      <c r="A147" s="357" t="s">
        <v>1367</v>
      </c>
      <c r="B147" s="357" t="s">
        <v>318</v>
      </c>
      <c r="C147" s="358">
        <v>43727</v>
      </c>
      <c r="D147" s="359" t="s">
        <v>1319</v>
      </c>
      <c r="E147" s="357" t="s">
        <v>1370</v>
      </c>
      <c r="F147" s="360" t="s">
        <v>1113</v>
      </c>
      <c r="G147" s="361">
        <v>5710</v>
      </c>
      <c r="H147" s="361"/>
      <c r="I147" s="362">
        <v>42.43</v>
      </c>
      <c r="J147" s="362"/>
    </row>
    <row r="148" spans="1:10" s="194" customFormat="1" x14ac:dyDescent="0.2">
      <c r="A148" s="357" t="s">
        <v>1367</v>
      </c>
      <c r="B148" s="357" t="s">
        <v>318</v>
      </c>
      <c r="C148" s="358">
        <v>43727</v>
      </c>
      <c r="D148" s="359" t="s">
        <v>1319</v>
      </c>
      <c r="E148" s="357" t="s">
        <v>1371</v>
      </c>
      <c r="F148" s="360" t="s">
        <v>1113</v>
      </c>
      <c r="G148" s="361">
        <v>5710</v>
      </c>
      <c r="H148" s="361"/>
      <c r="I148" s="362">
        <v>9.57</v>
      </c>
      <c r="J148" s="362"/>
    </row>
    <row r="149" spans="1:10" s="194" customFormat="1" x14ac:dyDescent="0.2">
      <c r="A149" s="357" t="s">
        <v>1372</v>
      </c>
      <c r="B149" s="357" t="s">
        <v>1373</v>
      </c>
      <c r="C149" s="358">
        <v>43738</v>
      </c>
      <c r="D149" s="359" t="s">
        <v>293</v>
      </c>
      <c r="E149" s="357" t="s">
        <v>1374</v>
      </c>
      <c r="F149" s="360" t="s">
        <v>1113</v>
      </c>
      <c r="G149" s="361">
        <v>5748</v>
      </c>
      <c r="H149" s="361"/>
      <c r="I149" s="362">
        <v>1011.5</v>
      </c>
      <c r="J149" s="362"/>
    </row>
    <row r="150" spans="1:10" x14ac:dyDescent="0.2">
      <c r="A150" s="317" t="s">
        <v>1110</v>
      </c>
      <c r="B150" s="317" t="s">
        <v>318</v>
      </c>
      <c r="C150" s="318">
        <v>43647</v>
      </c>
      <c r="D150" s="319" t="s">
        <v>293</v>
      </c>
      <c r="E150" s="317" t="s">
        <v>1375</v>
      </c>
      <c r="F150" s="320" t="s">
        <v>1113</v>
      </c>
      <c r="G150" s="321">
        <v>5564</v>
      </c>
      <c r="H150" s="321"/>
      <c r="I150" s="322"/>
      <c r="J150" s="322">
        <v>376.86</v>
      </c>
    </row>
    <row r="151" spans="1:10" x14ac:dyDescent="0.2">
      <c r="A151" s="317" t="s">
        <v>1110</v>
      </c>
      <c r="B151" s="317" t="s">
        <v>318</v>
      </c>
      <c r="C151" s="318">
        <v>43647</v>
      </c>
      <c r="D151" s="319" t="s">
        <v>293</v>
      </c>
      <c r="E151" s="317" t="s">
        <v>1332</v>
      </c>
      <c r="F151" s="320" t="s">
        <v>1113</v>
      </c>
      <c r="G151" s="321">
        <v>5564</v>
      </c>
      <c r="H151" s="321"/>
      <c r="I151" s="322"/>
      <c r="J151" s="322">
        <v>238.26</v>
      </c>
    </row>
    <row r="152" spans="1:10" s="180" customFormat="1" x14ac:dyDescent="0.2">
      <c r="A152" s="317" t="s">
        <v>1110</v>
      </c>
      <c r="B152" s="317" t="s">
        <v>318</v>
      </c>
      <c r="C152" s="318">
        <v>43647</v>
      </c>
      <c r="D152" s="319" t="s">
        <v>293</v>
      </c>
      <c r="E152" s="317" t="s">
        <v>1376</v>
      </c>
      <c r="F152" s="320" t="s">
        <v>1113</v>
      </c>
      <c r="G152" s="321">
        <v>5564</v>
      </c>
      <c r="H152" s="321"/>
      <c r="I152" s="322"/>
      <c r="J152" s="322">
        <v>242.61</v>
      </c>
    </row>
    <row r="153" spans="1:10" x14ac:dyDescent="0.2">
      <c r="A153" s="317" t="s">
        <v>1110</v>
      </c>
      <c r="B153" s="317" t="s">
        <v>318</v>
      </c>
      <c r="C153" s="318">
        <v>43647</v>
      </c>
      <c r="D153" s="319" t="s">
        <v>293</v>
      </c>
      <c r="E153" s="317" t="s">
        <v>1335</v>
      </c>
      <c r="F153" s="320" t="s">
        <v>1113</v>
      </c>
      <c r="G153" s="321">
        <v>5564</v>
      </c>
      <c r="H153" s="321"/>
      <c r="I153" s="322"/>
      <c r="J153" s="322">
        <v>173.04</v>
      </c>
    </row>
    <row r="154" spans="1:10" x14ac:dyDescent="0.2">
      <c r="A154" s="317" t="s">
        <v>1110</v>
      </c>
      <c r="B154" s="317" t="s">
        <v>318</v>
      </c>
      <c r="C154" s="318">
        <v>43671</v>
      </c>
      <c r="D154" s="319" t="s">
        <v>293</v>
      </c>
      <c r="E154" s="317" t="s">
        <v>1375</v>
      </c>
      <c r="F154" s="320" t="s">
        <v>1113</v>
      </c>
      <c r="G154" s="321">
        <v>5608</v>
      </c>
      <c r="H154" s="321"/>
      <c r="I154" s="322">
        <v>376.86</v>
      </c>
      <c r="J154" s="322"/>
    </row>
    <row r="155" spans="1:10" x14ac:dyDescent="0.2">
      <c r="A155" s="317" t="s">
        <v>1110</v>
      </c>
      <c r="B155" s="317" t="s">
        <v>318</v>
      </c>
      <c r="C155" s="318">
        <v>43671</v>
      </c>
      <c r="D155" s="319" t="s">
        <v>293</v>
      </c>
      <c r="E155" s="317" t="s">
        <v>1332</v>
      </c>
      <c r="F155" s="320" t="s">
        <v>1113</v>
      </c>
      <c r="G155" s="321">
        <v>5608</v>
      </c>
      <c r="H155" s="321"/>
      <c r="I155" s="322">
        <v>238.26</v>
      </c>
      <c r="J155" s="322"/>
    </row>
    <row r="156" spans="1:10" x14ac:dyDescent="0.2">
      <c r="A156" s="317" t="s">
        <v>1110</v>
      </c>
      <c r="B156" s="317" t="s">
        <v>318</v>
      </c>
      <c r="C156" s="318">
        <v>43671</v>
      </c>
      <c r="D156" s="319" t="s">
        <v>293</v>
      </c>
      <c r="E156" s="317" t="s">
        <v>1376</v>
      </c>
      <c r="F156" s="320" t="s">
        <v>1113</v>
      </c>
      <c r="G156" s="321">
        <v>5608</v>
      </c>
      <c r="H156" s="321"/>
      <c r="I156" s="322">
        <v>242.61</v>
      </c>
      <c r="J156" s="322"/>
    </row>
    <row r="157" spans="1:10" x14ac:dyDescent="0.2">
      <c r="A157" s="317" t="s">
        <v>1110</v>
      </c>
      <c r="B157" s="317" t="s">
        <v>318</v>
      </c>
      <c r="C157" s="318">
        <v>43671</v>
      </c>
      <c r="D157" s="319" t="s">
        <v>293</v>
      </c>
      <c r="E157" s="317" t="s">
        <v>1335</v>
      </c>
      <c r="F157" s="320" t="s">
        <v>1113</v>
      </c>
      <c r="G157" s="321">
        <v>5608</v>
      </c>
      <c r="H157" s="321"/>
      <c r="I157" s="322">
        <v>173.04</v>
      </c>
      <c r="J157" s="322"/>
    </row>
    <row r="158" spans="1:10" x14ac:dyDescent="0.2">
      <c r="A158" s="317" t="s">
        <v>1110</v>
      </c>
      <c r="B158" s="317" t="s">
        <v>318</v>
      </c>
      <c r="C158" s="318">
        <v>43677</v>
      </c>
      <c r="D158" s="319" t="s">
        <v>1377</v>
      </c>
      <c r="E158" s="317" t="s">
        <v>1340</v>
      </c>
      <c r="F158" s="320" t="s">
        <v>1113</v>
      </c>
      <c r="G158" s="321">
        <v>5636</v>
      </c>
      <c r="H158" s="321"/>
      <c r="I158" s="322">
        <v>20.81</v>
      </c>
      <c r="J158" s="322"/>
    </row>
    <row r="159" spans="1:10" x14ac:dyDescent="0.2">
      <c r="A159" s="317" t="s">
        <v>1110</v>
      </c>
      <c r="B159" s="317" t="s">
        <v>318</v>
      </c>
      <c r="C159" s="318">
        <v>43677</v>
      </c>
      <c r="D159" s="319" t="s">
        <v>293</v>
      </c>
      <c r="E159" s="317" t="s">
        <v>1334</v>
      </c>
      <c r="F159" s="320" t="s">
        <v>1113</v>
      </c>
      <c r="G159" s="321">
        <v>5620</v>
      </c>
      <c r="H159" s="321"/>
      <c r="I159" s="322">
        <v>208.79</v>
      </c>
      <c r="J159" s="322"/>
    </row>
    <row r="160" spans="1:10" x14ac:dyDescent="0.2">
      <c r="A160" s="317" t="s">
        <v>1110</v>
      </c>
      <c r="B160" s="317" t="s">
        <v>318</v>
      </c>
      <c r="C160" s="318">
        <v>43677</v>
      </c>
      <c r="D160" s="319" t="s">
        <v>293</v>
      </c>
      <c r="E160" s="317" t="s">
        <v>1335</v>
      </c>
      <c r="F160" s="320" t="s">
        <v>1113</v>
      </c>
      <c r="G160" s="321">
        <v>5620</v>
      </c>
      <c r="H160" s="321"/>
      <c r="I160" s="322">
        <v>80.430000000000007</v>
      </c>
      <c r="J160" s="322"/>
    </row>
    <row r="161" spans="1:10" x14ac:dyDescent="0.2">
      <c r="A161" s="317" t="s">
        <v>1110</v>
      </c>
      <c r="B161" s="317" t="s">
        <v>318</v>
      </c>
      <c r="C161" s="318">
        <v>43677</v>
      </c>
      <c r="D161" s="319" t="s">
        <v>293</v>
      </c>
      <c r="E161" s="317" t="s">
        <v>1336</v>
      </c>
      <c r="F161" s="320" t="s">
        <v>1113</v>
      </c>
      <c r="G161" s="321">
        <v>5620</v>
      </c>
      <c r="H161" s="321"/>
      <c r="I161" s="322">
        <v>311.48</v>
      </c>
      <c r="J161" s="322"/>
    </row>
    <row r="162" spans="1:10" x14ac:dyDescent="0.2">
      <c r="A162" s="317" t="s">
        <v>1110</v>
      </c>
      <c r="B162" s="317" t="s">
        <v>318</v>
      </c>
      <c r="C162" s="318">
        <v>43677</v>
      </c>
      <c r="D162" s="319" t="s">
        <v>293</v>
      </c>
      <c r="E162" s="317" t="s">
        <v>1378</v>
      </c>
      <c r="F162" s="320" t="s">
        <v>1113</v>
      </c>
      <c r="G162" s="321">
        <v>5620</v>
      </c>
      <c r="H162" s="321"/>
      <c r="I162" s="322">
        <v>241.74</v>
      </c>
      <c r="J162" s="322"/>
    </row>
    <row r="163" spans="1:10" x14ac:dyDescent="0.2">
      <c r="A163" s="317" t="s">
        <v>1110</v>
      </c>
      <c r="B163" s="317" t="s">
        <v>318</v>
      </c>
      <c r="C163" s="318">
        <v>43678</v>
      </c>
      <c r="D163" s="319" t="s">
        <v>1377</v>
      </c>
      <c r="E163" s="317" t="s">
        <v>1340</v>
      </c>
      <c r="F163" s="320" t="s">
        <v>1113</v>
      </c>
      <c r="G163" s="321">
        <v>5637</v>
      </c>
      <c r="H163" s="321"/>
      <c r="I163" s="322"/>
      <c r="J163" s="322">
        <v>20.81</v>
      </c>
    </row>
    <row r="164" spans="1:10" x14ac:dyDescent="0.2">
      <c r="A164" s="317" t="s">
        <v>1110</v>
      </c>
      <c r="B164" s="317" t="s">
        <v>318</v>
      </c>
      <c r="C164" s="318">
        <v>43678</v>
      </c>
      <c r="D164" s="319" t="s">
        <v>293</v>
      </c>
      <c r="E164" s="317" t="s">
        <v>1334</v>
      </c>
      <c r="F164" s="320" t="s">
        <v>1113</v>
      </c>
      <c r="G164" s="321">
        <v>5640</v>
      </c>
      <c r="H164" s="321"/>
      <c r="I164" s="322"/>
      <c r="J164" s="322">
        <v>208.79</v>
      </c>
    </row>
    <row r="165" spans="1:10" x14ac:dyDescent="0.2">
      <c r="A165" s="317" t="s">
        <v>1110</v>
      </c>
      <c r="B165" s="317" t="s">
        <v>318</v>
      </c>
      <c r="C165" s="318">
        <v>43678</v>
      </c>
      <c r="D165" s="319" t="s">
        <v>293</v>
      </c>
      <c r="E165" s="317" t="s">
        <v>1335</v>
      </c>
      <c r="F165" s="320" t="s">
        <v>1113</v>
      </c>
      <c r="G165" s="321">
        <v>5640</v>
      </c>
      <c r="H165" s="321"/>
      <c r="I165" s="322"/>
      <c r="J165" s="322">
        <v>80.430000000000007</v>
      </c>
    </row>
    <row r="166" spans="1:10" x14ac:dyDescent="0.2">
      <c r="A166" s="317" t="s">
        <v>1110</v>
      </c>
      <c r="B166" s="317" t="s">
        <v>318</v>
      </c>
      <c r="C166" s="318">
        <v>43678</v>
      </c>
      <c r="D166" s="319" t="s">
        <v>293</v>
      </c>
      <c r="E166" s="317" t="s">
        <v>1336</v>
      </c>
      <c r="F166" s="320" t="s">
        <v>1113</v>
      </c>
      <c r="G166" s="321">
        <v>5640</v>
      </c>
      <c r="H166" s="321"/>
      <c r="I166" s="322"/>
      <c r="J166" s="322">
        <v>311.48</v>
      </c>
    </row>
    <row r="167" spans="1:10" x14ac:dyDescent="0.2">
      <c r="A167" s="317" t="s">
        <v>1110</v>
      </c>
      <c r="B167" s="317" t="s">
        <v>318</v>
      </c>
      <c r="C167" s="318">
        <v>43678</v>
      </c>
      <c r="D167" s="319" t="s">
        <v>293</v>
      </c>
      <c r="E167" s="317" t="s">
        <v>1378</v>
      </c>
      <c r="F167" s="320" t="s">
        <v>1113</v>
      </c>
      <c r="G167" s="321">
        <v>5640</v>
      </c>
      <c r="H167" s="321"/>
      <c r="I167" s="322"/>
      <c r="J167" s="322">
        <v>241.74</v>
      </c>
    </row>
    <row r="168" spans="1:10" x14ac:dyDescent="0.2">
      <c r="A168" s="317" t="s">
        <v>1110</v>
      </c>
      <c r="B168" s="317" t="s">
        <v>318</v>
      </c>
      <c r="C168" s="318">
        <v>43705</v>
      </c>
      <c r="D168" s="319" t="s">
        <v>293</v>
      </c>
      <c r="E168" s="317" t="s">
        <v>1334</v>
      </c>
      <c r="F168" s="320" t="s">
        <v>1113</v>
      </c>
      <c r="G168" s="321">
        <v>5648</v>
      </c>
      <c r="H168" s="321"/>
      <c r="I168" s="322">
        <v>208.79</v>
      </c>
      <c r="J168" s="322"/>
    </row>
    <row r="169" spans="1:10" x14ac:dyDescent="0.2">
      <c r="A169" s="317" t="s">
        <v>1110</v>
      </c>
      <c r="B169" s="317" t="s">
        <v>318</v>
      </c>
      <c r="C169" s="318">
        <v>43705</v>
      </c>
      <c r="D169" s="319" t="s">
        <v>293</v>
      </c>
      <c r="E169" s="317" t="s">
        <v>1335</v>
      </c>
      <c r="F169" s="320" t="s">
        <v>1113</v>
      </c>
      <c r="G169" s="321">
        <v>5648</v>
      </c>
      <c r="H169" s="321"/>
      <c r="I169" s="322">
        <v>80.430000000000007</v>
      </c>
      <c r="J169" s="322"/>
    </row>
    <row r="170" spans="1:10" x14ac:dyDescent="0.2">
      <c r="A170" s="317" t="s">
        <v>1110</v>
      </c>
      <c r="B170" s="317" t="s">
        <v>318</v>
      </c>
      <c r="C170" s="318">
        <v>43705</v>
      </c>
      <c r="D170" s="319" t="s">
        <v>293</v>
      </c>
      <c r="E170" s="317" t="s">
        <v>1336</v>
      </c>
      <c r="F170" s="320" t="s">
        <v>1113</v>
      </c>
      <c r="G170" s="321">
        <v>5648</v>
      </c>
      <c r="H170" s="321"/>
      <c r="I170" s="322">
        <v>311.48</v>
      </c>
      <c r="J170" s="322"/>
    </row>
    <row r="171" spans="1:10" x14ac:dyDescent="0.2">
      <c r="A171" s="317" t="s">
        <v>1110</v>
      </c>
      <c r="B171" s="317" t="s">
        <v>318</v>
      </c>
      <c r="C171" s="318">
        <v>43705</v>
      </c>
      <c r="D171" s="319" t="s">
        <v>293</v>
      </c>
      <c r="E171" s="317" t="s">
        <v>1378</v>
      </c>
      <c r="F171" s="320" t="s">
        <v>1113</v>
      </c>
      <c r="G171" s="321">
        <v>5648</v>
      </c>
      <c r="H171" s="321"/>
      <c r="I171" s="322">
        <v>241.74</v>
      </c>
      <c r="J171" s="322"/>
    </row>
    <row r="172" spans="1:10" x14ac:dyDescent="0.2">
      <c r="A172" s="317" t="s">
        <v>1110</v>
      </c>
      <c r="B172" s="317" t="s">
        <v>318</v>
      </c>
      <c r="C172" s="318">
        <v>43708</v>
      </c>
      <c r="D172" s="319" t="s">
        <v>293</v>
      </c>
      <c r="E172" s="317" t="s">
        <v>1337</v>
      </c>
      <c r="F172" s="320" t="s">
        <v>1113</v>
      </c>
      <c r="G172" s="321">
        <v>5672</v>
      </c>
      <c r="H172" s="321"/>
      <c r="I172" s="322">
        <v>155.74</v>
      </c>
      <c r="J172" s="322"/>
    </row>
    <row r="173" spans="1:10" x14ac:dyDescent="0.2">
      <c r="A173" s="317" t="s">
        <v>1110</v>
      </c>
      <c r="B173" s="317" t="s">
        <v>318</v>
      </c>
      <c r="C173" s="318">
        <v>43708</v>
      </c>
      <c r="D173" s="319" t="s">
        <v>293</v>
      </c>
      <c r="E173" s="317" t="s">
        <v>1339</v>
      </c>
      <c r="F173" s="320" t="s">
        <v>1113</v>
      </c>
      <c r="G173" s="321">
        <v>5672</v>
      </c>
      <c r="H173" s="321"/>
      <c r="I173" s="322">
        <v>397.13</v>
      </c>
      <c r="J173" s="322"/>
    </row>
    <row r="174" spans="1:10" x14ac:dyDescent="0.2">
      <c r="A174" s="317" t="s">
        <v>1110</v>
      </c>
      <c r="B174" s="317" t="s">
        <v>318</v>
      </c>
      <c r="C174" s="318">
        <v>43708</v>
      </c>
      <c r="D174" s="319" t="s">
        <v>293</v>
      </c>
      <c r="E174" s="317" t="s">
        <v>1346</v>
      </c>
      <c r="F174" s="320" t="s">
        <v>1113</v>
      </c>
      <c r="G174" s="321">
        <v>5672</v>
      </c>
      <c r="H174" s="321"/>
      <c r="I174" s="322">
        <v>921.74</v>
      </c>
      <c r="J174" s="322"/>
    </row>
    <row r="175" spans="1:10" x14ac:dyDescent="0.2">
      <c r="A175" s="317" t="s">
        <v>1110</v>
      </c>
      <c r="B175" s="317" t="s">
        <v>318</v>
      </c>
      <c r="C175" s="318">
        <v>43708</v>
      </c>
      <c r="D175" s="319" t="s">
        <v>1326</v>
      </c>
      <c r="E175" s="317" t="s">
        <v>1213</v>
      </c>
      <c r="F175" s="320" t="s">
        <v>1113</v>
      </c>
      <c r="G175" s="321">
        <v>5685</v>
      </c>
      <c r="H175" s="321"/>
      <c r="I175" s="322">
        <v>20.87</v>
      </c>
      <c r="J175" s="322"/>
    </row>
    <row r="176" spans="1:10" x14ac:dyDescent="0.2">
      <c r="A176" s="317" t="s">
        <v>1110</v>
      </c>
      <c r="B176" s="317" t="s">
        <v>318</v>
      </c>
      <c r="C176" s="318">
        <v>43708</v>
      </c>
      <c r="D176" s="319" t="s">
        <v>1326</v>
      </c>
      <c r="E176" s="317" t="s">
        <v>1213</v>
      </c>
      <c r="F176" s="320" t="s">
        <v>1113</v>
      </c>
      <c r="G176" s="321">
        <v>5685</v>
      </c>
      <c r="H176" s="321"/>
      <c r="I176" s="322">
        <v>3.91</v>
      </c>
      <c r="J176" s="322"/>
    </row>
    <row r="177" spans="1:11" x14ac:dyDescent="0.2">
      <c r="A177" s="317" t="s">
        <v>1110</v>
      </c>
      <c r="B177" s="317" t="s">
        <v>318</v>
      </c>
      <c r="C177" s="318">
        <v>43708</v>
      </c>
      <c r="D177" s="319" t="s">
        <v>1115</v>
      </c>
      <c r="E177" s="317" t="s">
        <v>1349</v>
      </c>
      <c r="F177" s="320" t="s">
        <v>1113</v>
      </c>
      <c r="G177" s="321">
        <v>5687</v>
      </c>
      <c r="H177" s="321"/>
      <c r="I177" s="322">
        <v>1510.96</v>
      </c>
      <c r="J177" s="322"/>
    </row>
    <row r="178" spans="1:11" s="180" customFormat="1" x14ac:dyDescent="0.2">
      <c r="A178" s="317" t="s">
        <v>1110</v>
      </c>
      <c r="B178" s="317" t="s">
        <v>318</v>
      </c>
      <c r="C178" s="318">
        <v>43709</v>
      </c>
      <c r="D178" s="319" t="s">
        <v>293</v>
      </c>
      <c r="E178" s="317" t="s">
        <v>1337</v>
      </c>
      <c r="F178" s="320" t="s">
        <v>1113</v>
      </c>
      <c r="G178" s="321">
        <v>5676</v>
      </c>
      <c r="H178" s="321"/>
      <c r="I178" s="322"/>
      <c r="J178" s="322">
        <v>155.74</v>
      </c>
    </row>
    <row r="179" spans="1:11" x14ac:dyDescent="0.2">
      <c r="A179" s="317" t="s">
        <v>1110</v>
      </c>
      <c r="B179" s="317" t="s">
        <v>318</v>
      </c>
      <c r="C179" s="318">
        <v>43709</v>
      </c>
      <c r="D179" s="319" t="s">
        <v>293</v>
      </c>
      <c r="E179" s="317" t="s">
        <v>1339</v>
      </c>
      <c r="F179" s="320" t="s">
        <v>1113</v>
      </c>
      <c r="G179" s="321">
        <v>5676</v>
      </c>
      <c r="H179" s="321"/>
      <c r="I179" s="322"/>
      <c r="J179" s="322">
        <v>397.13</v>
      </c>
    </row>
    <row r="180" spans="1:11" x14ac:dyDescent="0.2">
      <c r="A180" s="317" t="s">
        <v>1110</v>
      </c>
      <c r="B180" s="317" t="s">
        <v>318</v>
      </c>
      <c r="C180" s="318">
        <v>43709</v>
      </c>
      <c r="D180" s="319" t="s">
        <v>293</v>
      </c>
      <c r="E180" s="317" t="s">
        <v>1346</v>
      </c>
      <c r="F180" s="320" t="s">
        <v>1113</v>
      </c>
      <c r="G180" s="321">
        <v>5676</v>
      </c>
      <c r="H180" s="321"/>
      <c r="I180" s="322"/>
      <c r="J180" s="322">
        <v>921.74</v>
      </c>
    </row>
    <row r="181" spans="1:11" x14ac:dyDescent="0.2">
      <c r="A181" s="317" t="s">
        <v>1110</v>
      </c>
      <c r="B181" s="317" t="s">
        <v>318</v>
      </c>
      <c r="C181" s="318">
        <v>43709</v>
      </c>
      <c r="D181" s="319" t="s">
        <v>1115</v>
      </c>
      <c r="E181" s="317" t="s">
        <v>1349</v>
      </c>
      <c r="F181" s="320" t="s">
        <v>1113</v>
      </c>
      <c r="G181" s="321">
        <v>5698</v>
      </c>
      <c r="H181" s="321"/>
      <c r="I181" s="322"/>
      <c r="J181" s="322">
        <v>1510.96</v>
      </c>
    </row>
    <row r="182" spans="1:11" x14ac:dyDescent="0.2">
      <c r="A182" s="317" t="s">
        <v>1110</v>
      </c>
      <c r="B182" s="317" t="s">
        <v>318</v>
      </c>
      <c r="C182" s="318">
        <v>43727</v>
      </c>
      <c r="D182" s="319" t="s">
        <v>1326</v>
      </c>
      <c r="E182" s="317" t="s">
        <v>1379</v>
      </c>
      <c r="F182" s="320" t="s">
        <v>1113</v>
      </c>
      <c r="G182" s="321">
        <v>5710</v>
      </c>
      <c r="H182" s="321"/>
      <c r="I182" s="322">
        <v>3.91</v>
      </c>
      <c r="J182" s="322"/>
    </row>
    <row r="183" spans="1:11" x14ac:dyDescent="0.2">
      <c r="A183" s="317" t="s">
        <v>1110</v>
      </c>
      <c r="B183" s="317" t="s">
        <v>318</v>
      </c>
      <c r="C183" s="318">
        <v>43727</v>
      </c>
      <c r="D183" s="319" t="s">
        <v>1326</v>
      </c>
      <c r="E183" s="317" t="s">
        <v>1213</v>
      </c>
      <c r="F183" s="320" t="s">
        <v>1113</v>
      </c>
      <c r="G183" s="321">
        <v>5710</v>
      </c>
      <c r="H183" s="321"/>
      <c r="I183" s="322">
        <v>7.83</v>
      </c>
      <c r="J183" s="322"/>
    </row>
    <row r="184" spans="1:11" x14ac:dyDescent="0.2">
      <c r="A184" s="317" t="s">
        <v>1110</v>
      </c>
      <c r="B184" s="317" t="s">
        <v>318</v>
      </c>
      <c r="C184" s="318">
        <v>43728</v>
      </c>
      <c r="D184" s="319" t="s">
        <v>293</v>
      </c>
      <c r="E184" s="317" t="s">
        <v>1337</v>
      </c>
      <c r="F184" s="320" t="s">
        <v>1113</v>
      </c>
      <c r="G184" s="321">
        <v>5705</v>
      </c>
      <c r="H184" s="321"/>
      <c r="I184" s="322">
        <v>155.74</v>
      </c>
      <c r="J184" s="322"/>
    </row>
    <row r="185" spans="1:11" x14ac:dyDescent="0.2">
      <c r="A185" s="317" t="s">
        <v>1110</v>
      </c>
      <c r="B185" s="317" t="s">
        <v>318</v>
      </c>
      <c r="C185" s="318">
        <v>43728</v>
      </c>
      <c r="D185" s="319" t="s">
        <v>293</v>
      </c>
      <c r="E185" s="317" t="s">
        <v>1339</v>
      </c>
      <c r="F185" s="320" t="s">
        <v>1113</v>
      </c>
      <c r="G185" s="321">
        <v>5705</v>
      </c>
      <c r="H185" s="321"/>
      <c r="I185" s="322">
        <v>397.13</v>
      </c>
      <c r="J185" s="322"/>
    </row>
    <row r="186" spans="1:11" s="194" customFormat="1" x14ac:dyDescent="0.2">
      <c r="A186" s="357" t="s">
        <v>1110</v>
      </c>
      <c r="B186" s="357" t="s">
        <v>318</v>
      </c>
      <c r="C186" s="358">
        <v>43728</v>
      </c>
      <c r="D186" s="359" t="s">
        <v>293</v>
      </c>
      <c r="E186" s="357" t="s">
        <v>1346</v>
      </c>
      <c r="F186" s="360" t="s">
        <v>1113</v>
      </c>
      <c r="G186" s="361">
        <v>5705</v>
      </c>
      <c r="H186" s="361"/>
      <c r="I186" s="362">
        <v>921.74</v>
      </c>
      <c r="J186" s="362"/>
    </row>
    <row r="187" spans="1:11" x14ac:dyDescent="0.2">
      <c r="A187" s="317" t="s">
        <v>1110</v>
      </c>
      <c r="B187" s="317" t="s">
        <v>318</v>
      </c>
      <c r="C187" s="318">
        <v>43738</v>
      </c>
      <c r="D187" s="319" t="s">
        <v>293</v>
      </c>
      <c r="E187" s="317" t="s">
        <v>1343</v>
      </c>
      <c r="F187" s="320" t="s">
        <v>1113</v>
      </c>
      <c r="G187" s="321">
        <v>5726</v>
      </c>
      <c r="H187" s="321"/>
      <c r="I187" s="322">
        <v>365.22</v>
      </c>
      <c r="J187" s="322"/>
    </row>
    <row r="188" spans="1:11" x14ac:dyDescent="0.2">
      <c r="A188" s="317" t="s">
        <v>1110</v>
      </c>
      <c r="B188" s="317" t="s">
        <v>318</v>
      </c>
      <c r="C188" s="318">
        <v>43738</v>
      </c>
      <c r="D188" s="319" t="s">
        <v>293</v>
      </c>
      <c r="E188" s="317" t="s">
        <v>1380</v>
      </c>
      <c r="F188" s="320" t="s">
        <v>1113</v>
      </c>
      <c r="G188" s="321">
        <v>5726</v>
      </c>
      <c r="H188" s="321"/>
      <c r="I188" s="322">
        <v>346.43</v>
      </c>
      <c r="J188" s="322"/>
    </row>
    <row r="189" spans="1:11" x14ac:dyDescent="0.2">
      <c r="A189" s="317" t="s">
        <v>1110</v>
      </c>
      <c r="B189" s="317" t="s">
        <v>318</v>
      </c>
      <c r="C189" s="318">
        <v>43738</v>
      </c>
      <c r="D189" s="319" t="s">
        <v>293</v>
      </c>
      <c r="E189" s="317" t="s">
        <v>1345</v>
      </c>
      <c r="F189" s="320" t="s">
        <v>1113</v>
      </c>
      <c r="G189" s="321">
        <v>5726</v>
      </c>
      <c r="H189" s="321"/>
      <c r="I189" s="322">
        <v>756</v>
      </c>
      <c r="J189" s="322"/>
    </row>
    <row r="190" spans="1:11" s="383" customFormat="1" x14ac:dyDescent="0.2">
      <c r="A190" s="376" t="s">
        <v>1110</v>
      </c>
      <c r="B190" s="376" t="s">
        <v>318</v>
      </c>
      <c r="C190" s="377">
        <v>43738</v>
      </c>
      <c r="D190" s="378" t="s">
        <v>1381</v>
      </c>
      <c r="E190" s="376" t="s">
        <v>1382</v>
      </c>
      <c r="F190" s="379" t="s">
        <v>1119</v>
      </c>
      <c r="G190" s="380">
        <v>5754</v>
      </c>
      <c r="H190" s="380">
        <v>46687</v>
      </c>
      <c r="I190" s="381">
        <v>43.04</v>
      </c>
      <c r="J190" s="381"/>
      <c r="K190" s="382" t="s">
        <v>1322</v>
      </c>
    </row>
    <row r="191" spans="1:11" x14ac:dyDescent="0.2">
      <c r="A191" s="317" t="s">
        <v>1110</v>
      </c>
      <c r="B191" s="317" t="s">
        <v>318</v>
      </c>
      <c r="C191" s="318">
        <v>43739</v>
      </c>
      <c r="D191" s="319" t="s">
        <v>293</v>
      </c>
      <c r="E191" s="317" t="s">
        <v>1343</v>
      </c>
      <c r="F191" s="320" t="s">
        <v>1113</v>
      </c>
      <c r="G191" s="321">
        <v>5737</v>
      </c>
      <c r="H191" s="321"/>
      <c r="I191" s="322"/>
      <c r="J191" s="322">
        <v>365.22</v>
      </c>
    </row>
    <row r="192" spans="1:11" x14ac:dyDescent="0.2">
      <c r="A192" s="317" t="s">
        <v>1110</v>
      </c>
      <c r="B192" s="317" t="s">
        <v>318</v>
      </c>
      <c r="C192" s="318">
        <v>43739</v>
      </c>
      <c r="D192" s="319" t="s">
        <v>293</v>
      </c>
      <c r="E192" s="317" t="s">
        <v>1380</v>
      </c>
      <c r="F192" s="320" t="s">
        <v>1113</v>
      </c>
      <c r="G192" s="321">
        <v>5737</v>
      </c>
      <c r="H192" s="321"/>
      <c r="I192" s="322"/>
      <c r="J192" s="322">
        <v>346.43</v>
      </c>
    </row>
    <row r="193" spans="1:10" x14ac:dyDescent="0.2">
      <c r="A193" s="317" t="s">
        <v>1110</v>
      </c>
      <c r="B193" s="317" t="s">
        <v>318</v>
      </c>
      <c r="C193" s="318">
        <v>43739</v>
      </c>
      <c r="D193" s="319" t="s">
        <v>293</v>
      </c>
      <c r="E193" s="317" t="s">
        <v>1345</v>
      </c>
      <c r="F193" s="320" t="s">
        <v>1113</v>
      </c>
      <c r="G193" s="321">
        <v>5737</v>
      </c>
      <c r="H193" s="321"/>
      <c r="I193" s="322"/>
      <c r="J193" s="322">
        <v>756</v>
      </c>
    </row>
    <row r="194" spans="1:10" x14ac:dyDescent="0.2">
      <c r="A194" s="317" t="s">
        <v>1110</v>
      </c>
      <c r="B194" s="317" t="s">
        <v>318</v>
      </c>
      <c r="C194" s="318">
        <v>43769</v>
      </c>
      <c r="D194" s="319" t="s">
        <v>293</v>
      </c>
      <c r="E194" s="317" t="s">
        <v>1208</v>
      </c>
      <c r="F194" s="320" t="s">
        <v>1113</v>
      </c>
      <c r="G194" s="321">
        <v>5786</v>
      </c>
      <c r="H194" s="321"/>
      <c r="I194" s="322">
        <v>743.3</v>
      </c>
      <c r="J194" s="322"/>
    </row>
    <row r="195" spans="1:10" x14ac:dyDescent="0.2">
      <c r="A195" s="317" t="s">
        <v>1110</v>
      </c>
      <c r="B195" s="317" t="s">
        <v>318</v>
      </c>
      <c r="C195" s="318">
        <v>43769</v>
      </c>
      <c r="D195" s="319" t="s">
        <v>293</v>
      </c>
      <c r="E195" s="317" t="s">
        <v>1209</v>
      </c>
      <c r="F195" s="320" t="s">
        <v>1113</v>
      </c>
      <c r="G195" s="321">
        <v>5786</v>
      </c>
      <c r="H195" s="321"/>
      <c r="I195" s="322">
        <v>811.88</v>
      </c>
      <c r="J195" s="322"/>
    </row>
    <row r="196" spans="1:10" s="180" customFormat="1" x14ac:dyDescent="0.2">
      <c r="A196" s="317" t="s">
        <v>1110</v>
      </c>
      <c r="B196" s="317" t="s">
        <v>318</v>
      </c>
      <c r="C196" s="318">
        <v>43769</v>
      </c>
      <c r="D196" s="319" t="s">
        <v>293</v>
      </c>
      <c r="E196" s="317" t="s">
        <v>1210</v>
      </c>
      <c r="F196" s="320" t="s">
        <v>1113</v>
      </c>
      <c r="G196" s="321">
        <v>5786</v>
      </c>
      <c r="H196" s="321"/>
      <c r="I196" s="322">
        <v>823.74</v>
      </c>
      <c r="J196" s="322"/>
    </row>
    <row r="197" spans="1:10" x14ac:dyDescent="0.2">
      <c r="A197" s="317" t="s">
        <v>1110</v>
      </c>
      <c r="B197" s="317" t="s">
        <v>318</v>
      </c>
      <c r="C197" s="318">
        <v>43769</v>
      </c>
      <c r="D197" s="319" t="s">
        <v>293</v>
      </c>
      <c r="E197" s="317" t="s">
        <v>1211</v>
      </c>
      <c r="F197" s="320" t="s">
        <v>1113</v>
      </c>
      <c r="G197" s="321">
        <v>5786</v>
      </c>
      <c r="H197" s="321"/>
      <c r="I197" s="322">
        <v>1130.4100000000001</v>
      </c>
      <c r="J197" s="322"/>
    </row>
    <row r="198" spans="1:10" x14ac:dyDescent="0.2">
      <c r="A198" s="317" t="s">
        <v>1110</v>
      </c>
      <c r="B198" s="317" t="s">
        <v>318</v>
      </c>
      <c r="C198" s="318">
        <v>43768</v>
      </c>
      <c r="D198" s="319" t="s">
        <v>293</v>
      </c>
      <c r="E198" s="317" t="s">
        <v>1343</v>
      </c>
      <c r="F198" s="320" t="s">
        <v>1113</v>
      </c>
      <c r="G198" s="321">
        <v>5769</v>
      </c>
      <c r="H198" s="321"/>
      <c r="I198" s="322">
        <v>365.22</v>
      </c>
      <c r="J198" s="322"/>
    </row>
    <row r="199" spans="1:10" x14ac:dyDescent="0.2">
      <c r="A199" s="317" t="s">
        <v>1110</v>
      </c>
      <c r="B199" s="317" t="s">
        <v>318</v>
      </c>
      <c r="C199" s="318">
        <v>43768</v>
      </c>
      <c r="D199" s="319" t="s">
        <v>293</v>
      </c>
      <c r="E199" s="317" t="s">
        <v>1380</v>
      </c>
      <c r="F199" s="320" t="s">
        <v>1113</v>
      </c>
      <c r="G199" s="321">
        <v>5769</v>
      </c>
      <c r="H199" s="321"/>
      <c r="I199" s="322">
        <v>346.43</v>
      </c>
      <c r="J199" s="322"/>
    </row>
    <row r="200" spans="1:10" x14ac:dyDescent="0.2">
      <c r="A200" s="317" t="s">
        <v>1110</v>
      </c>
      <c r="B200" s="317" t="s">
        <v>318</v>
      </c>
      <c r="C200" s="318">
        <v>43768</v>
      </c>
      <c r="D200" s="319" t="s">
        <v>293</v>
      </c>
      <c r="E200" s="317" t="s">
        <v>1345</v>
      </c>
      <c r="F200" s="320" t="s">
        <v>1113</v>
      </c>
      <c r="G200" s="321">
        <v>5769</v>
      </c>
      <c r="H200" s="321"/>
      <c r="I200" s="322">
        <v>756</v>
      </c>
      <c r="J200" s="322"/>
    </row>
    <row r="201" spans="1:10" x14ac:dyDescent="0.2">
      <c r="A201" s="317" t="s">
        <v>1110</v>
      </c>
      <c r="B201" s="317" t="s">
        <v>318</v>
      </c>
      <c r="C201" s="318">
        <v>43769</v>
      </c>
      <c r="D201" s="319" t="s">
        <v>1115</v>
      </c>
      <c r="E201" s="317" t="s">
        <v>1180</v>
      </c>
      <c r="F201" s="320" t="s">
        <v>1113</v>
      </c>
      <c r="G201" s="321">
        <v>5792</v>
      </c>
      <c r="H201" s="321"/>
      <c r="I201" s="322">
        <v>45</v>
      </c>
      <c r="J201" s="322"/>
    </row>
    <row r="202" spans="1:10" x14ac:dyDescent="0.2">
      <c r="A202" s="317" t="s">
        <v>1110</v>
      </c>
      <c r="B202" s="317" t="s">
        <v>318</v>
      </c>
      <c r="C202" s="318">
        <v>43769</v>
      </c>
      <c r="D202" s="319" t="s">
        <v>1174</v>
      </c>
      <c r="E202" s="317" t="s">
        <v>1383</v>
      </c>
      <c r="F202" s="320" t="s">
        <v>1113</v>
      </c>
      <c r="G202" s="321">
        <v>5806</v>
      </c>
      <c r="H202" s="321"/>
      <c r="I202" s="322">
        <v>8.91</v>
      </c>
      <c r="J202" s="322"/>
    </row>
    <row r="203" spans="1:10" x14ac:dyDescent="0.2">
      <c r="A203" s="317" t="s">
        <v>1110</v>
      </c>
      <c r="B203" s="317" t="s">
        <v>318</v>
      </c>
      <c r="C203" s="318">
        <v>43769</v>
      </c>
      <c r="D203" s="319" t="s">
        <v>1174</v>
      </c>
      <c r="E203" s="317" t="s">
        <v>1384</v>
      </c>
      <c r="F203" s="320" t="s">
        <v>1113</v>
      </c>
      <c r="G203" s="321">
        <v>5806</v>
      </c>
      <c r="H203" s="321"/>
      <c r="I203" s="322">
        <v>7.83</v>
      </c>
      <c r="J203" s="322"/>
    </row>
    <row r="204" spans="1:10" x14ac:dyDescent="0.2">
      <c r="A204" s="317" t="s">
        <v>1110</v>
      </c>
      <c r="B204" s="317" t="s">
        <v>318</v>
      </c>
      <c r="C204" s="318">
        <v>43769</v>
      </c>
      <c r="D204" s="319" t="s">
        <v>1174</v>
      </c>
      <c r="E204" s="317" t="s">
        <v>1212</v>
      </c>
      <c r="F204" s="320" t="s">
        <v>1113</v>
      </c>
      <c r="G204" s="321">
        <v>5806</v>
      </c>
      <c r="H204" s="321"/>
      <c r="I204" s="322">
        <v>7.39</v>
      </c>
      <c r="J204" s="322"/>
    </row>
    <row r="205" spans="1:10" s="365" customFormat="1" x14ac:dyDescent="0.2">
      <c r="A205" s="357" t="s">
        <v>1110</v>
      </c>
      <c r="B205" s="357" t="s">
        <v>1158</v>
      </c>
      <c r="C205" s="358">
        <v>43769</v>
      </c>
      <c r="D205" s="359" t="s">
        <v>1115</v>
      </c>
      <c r="E205" s="357" t="s">
        <v>1385</v>
      </c>
      <c r="F205" s="360" t="s">
        <v>1113</v>
      </c>
      <c r="G205" s="361">
        <v>5806</v>
      </c>
      <c r="H205" s="361"/>
      <c r="I205" s="362">
        <v>4.3499999999999996</v>
      </c>
      <c r="J205" s="362"/>
    </row>
    <row r="206" spans="1:10" x14ac:dyDescent="0.2">
      <c r="A206" s="317" t="s">
        <v>1110</v>
      </c>
      <c r="B206" s="317" t="s">
        <v>1386</v>
      </c>
      <c r="C206" s="318">
        <v>43708</v>
      </c>
      <c r="D206" s="319" t="s">
        <v>1326</v>
      </c>
      <c r="E206" s="317" t="s">
        <v>1387</v>
      </c>
      <c r="F206" s="320" t="s">
        <v>1113</v>
      </c>
      <c r="G206" s="321">
        <v>5685</v>
      </c>
      <c r="H206" s="321"/>
      <c r="I206" s="322">
        <v>9.57</v>
      </c>
      <c r="J206" s="322"/>
    </row>
    <row r="207" spans="1:10" x14ac:dyDescent="0.2">
      <c r="A207" s="317" t="s">
        <v>1110</v>
      </c>
      <c r="B207" s="317" t="s">
        <v>1386</v>
      </c>
      <c r="C207" s="318">
        <v>43738</v>
      </c>
      <c r="D207" s="319" t="s">
        <v>293</v>
      </c>
      <c r="E207" s="317" t="s">
        <v>1388</v>
      </c>
      <c r="F207" s="320" t="s">
        <v>1113</v>
      </c>
      <c r="G207" s="321">
        <v>5703</v>
      </c>
      <c r="H207" s="321"/>
      <c r="I207" s="322"/>
      <c r="J207" s="322">
        <v>9.57</v>
      </c>
    </row>
    <row r="208" spans="1:10" x14ac:dyDescent="0.2">
      <c r="A208" s="306"/>
      <c r="B208" s="306"/>
      <c r="C208" s="306"/>
      <c r="D208" s="306"/>
      <c r="E208" s="306"/>
      <c r="F208" s="306"/>
      <c r="G208" s="306"/>
      <c r="H208" s="306"/>
      <c r="I208" s="323">
        <v>17910.32</v>
      </c>
      <c r="J208" s="323">
        <v>8685.1299999999992</v>
      </c>
    </row>
    <row r="209" spans="1:10" x14ac:dyDescent="0.2">
      <c r="A209" s="306"/>
      <c r="B209" s="306"/>
      <c r="C209" s="306"/>
      <c r="D209" s="306"/>
      <c r="E209" s="306"/>
      <c r="F209" s="306"/>
      <c r="G209" s="306"/>
      <c r="H209" s="366" t="s">
        <v>1348</v>
      </c>
      <c r="I209" s="368">
        <f>SUM(I127:I133)+SUM(I139:I142)+SUM(I145:I148)+I205+I190+I186+I149</f>
        <v>2726.77</v>
      </c>
      <c r="J209" s="306"/>
    </row>
    <row r="210" spans="1:10" x14ac:dyDescent="0.2">
      <c r="A210" s="316" t="s">
        <v>1143</v>
      </c>
      <c r="B210" s="311"/>
      <c r="C210" s="311"/>
      <c r="D210" s="311"/>
      <c r="E210" s="311"/>
      <c r="F210" s="311"/>
      <c r="G210" s="311"/>
      <c r="H210" s="311"/>
      <c r="I210" s="311"/>
      <c r="J210" s="311"/>
    </row>
    <row r="211" spans="1:10" s="194" customFormat="1" x14ac:dyDescent="0.2">
      <c r="A211" s="357" t="s">
        <v>1133</v>
      </c>
      <c r="B211" s="357" t="s">
        <v>318</v>
      </c>
      <c r="C211" s="358">
        <v>43727</v>
      </c>
      <c r="D211" s="359" t="s">
        <v>1319</v>
      </c>
      <c r="E211" s="357" t="s">
        <v>1389</v>
      </c>
      <c r="F211" s="360" t="s">
        <v>1113</v>
      </c>
      <c r="G211" s="361">
        <v>5710</v>
      </c>
      <c r="H211" s="361"/>
      <c r="I211" s="362">
        <v>76.959999999999994</v>
      </c>
      <c r="J211" s="362"/>
    </row>
    <row r="212" spans="1:10" x14ac:dyDescent="0.2">
      <c r="A212" s="317" t="s">
        <v>1390</v>
      </c>
      <c r="B212" s="317" t="s">
        <v>318</v>
      </c>
      <c r="C212" s="318">
        <v>43727</v>
      </c>
      <c r="D212" s="319" t="s">
        <v>1350</v>
      </c>
      <c r="E212" s="317" t="s">
        <v>1391</v>
      </c>
      <c r="F212" s="320" t="s">
        <v>1113</v>
      </c>
      <c r="G212" s="321">
        <v>5710</v>
      </c>
      <c r="H212" s="321"/>
      <c r="I212" s="322">
        <v>85.22</v>
      </c>
      <c r="J212" s="322"/>
    </row>
    <row r="213" spans="1:10" x14ac:dyDescent="0.2">
      <c r="A213" s="317" t="s">
        <v>493</v>
      </c>
      <c r="B213" s="317" t="s">
        <v>318</v>
      </c>
      <c r="C213" s="318">
        <v>43769</v>
      </c>
      <c r="D213" s="319" t="s">
        <v>1174</v>
      </c>
      <c r="E213" s="317" t="s">
        <v>1392</v>
      </c>
      <c r="F213" s="320" t="s">
        <v>1113</v>
      </c>
      <c r="G213" s="321">
        <v>5806</v>
      </c>
      <c r="H213" s="321"/>
      <c r="I213" s="322">
        <v>14.43</v>
      </c>
      <c r="J213" s="322"/>
    </row>
    <row r="214" spans="1:10" x14ac:dyDescent="0.2">
      <c r="A214" s="317" t="s">
        <v>1110</v>
      </c>
      <c r="B214" s="317" t="s">
        <v>318</v>
      </c>
      <c r="C214" s="318">
        <v>43647</v>
      </c>
      <c r="D214" s="319" t="s">
        <v>1221</v>
      </c>
      <c r="E214" s="317" t="s">
        <v>1393</v>
      </c>
      <c r="F214" s="320" t="s">
        <v>1113</v>
      </c>
      <c r="G214" s="321">
        <v>5563</v>
      </c>
      <c r="H214" s="321"/>
      <c r="I214" s="322"/>
      <c r="J214" s="322">
        <v>104.74</v>
      </c>
    </row>
    <row r="215" spans="1:10" s="180" customFormat="1" x14ac:dyDescent="0.2">
      <c r="A215" s="317" t="s">
        <v>1110</v>
      </c>
      <c r="B215" s="317" t="s">
        <v>318</v>
      </c>
      <c r="C215" s="318">
        <v>43671</v>
      </c>
      <c r="D215" s="319" t="s">
        <v>293</v>
      </c>
      <c r="E215" s="317" t="s">
        <v>1393</v>
      </c>
      <c r="F215" s="320" t="s">
        <v>1113</v>
      </c>
      <c r="G215" s="321">
        <v>5607</v>
      </c>
      <c r="H215" s="321"/>
      <c r="I215" s="322">
        <v>104.74</v>
      </c>
      <c r="J215" s="322"/>
    </row>
    <row r="216" spans="1:10" x14ac:dyDescent="0.2">
      <c r="A216" s="317" t="s">
        <v>1110</v>
      </c>
      <c r="B216" s="317" t="s">
        <v>318</v>
      </c>
      <c r="C216" s="318">
        <v>43708</v>
      </c>
      <c r="D216" s="319" t="s">
        <v>1221</v>
      </c>
      <c r="E216" s="317" t="s">
        <v>1394</v>
      </c>
      <c r="F216" s="320" t="s">
        <v>1113</v>
      </c>
      <c r="G216" s="321">
        <v>5663</v>
      </c>
      <c r="H216" s="321"/>
      <c r="I216" s="322">
        <v>120.71</v>
      </c>
      <c r="J216" s="322"/>
    </row>
    <row r="217" spans="1:10" x14ac:dyDescent="0.2">
      <c r="A217" s="317" t="s">
        <v>1110</v>
      </c>
      <c r="B217" s="317" t="s">
        <v>318</v>
      </c>
      <c r="C217" s="318">
        <v>43708</v>
      </c>
      <c r="D217" s="319" t="s">
        <v>1221</v>
      </c>
      <c r="E217" s="317" t="s">
        <v>1395</v>
      </c>
      <c r="F217" s="320" t="s">
        <v>1113</v>
      </c>
      <c r="G217" s="321">
        <v>5663</v>
      </c>
      <c r="H217" s="321"/>
      <c r="I217" s="322">
        <v>90.68</v>
      </c>
      <c r="J217" s="322"/>
    </row>
    <row r="218" spans="1:10" x14ac:dyDescent="0.2">
      <c r="A218" s="317" t="s">
        <v>1110</v>
      </c>
      <c r="B218" s="317" t="s">
        <v>318</v>
      </c>
      <c r="C218" s="318">
        <v>43708</v>
      </c>
      <c r="D218" s="319" t="s">
        <v>1221</v>
      </c>
      <c r="E218" s="317" t="s">
        <v>1396</v>
      </c>
      <c r="F218" s="320" t="s">
        <v>1113</v>
      </c>
      <c r="G218" s="321">
        <v>5663</v>
      </c>
      <c r="H218" s="321"/>
      <c r="I218" s="322">
        <v>46.49</v>
      </c>
      <c r="J218" s="322"/>
    </row>
    <row r="219" spans="1:10" x14ac:dyDescent="0.2">
      <c r="A219" s="317" t="s">
        <v>1110</v>
      </c>
      <c r="B219" s="317" t="s">
        <v>318</v>
      </c>
      <c r="C219" s="318">
        <v>43708</v>
      </c>
      <c r="D219" s="319" t="s">
        <v>1350</v>
      </c>
      <c r="E219" s="317" t="s">
        <v>1397</v>
      </c>
      <c r="F219" s="320" t="s">
        <v>1113</v>
      </c>
      <c r="G219" s="321">
        <v>5685</v>
      </c>
      <c r="H219" s="321"/>
      <c r="I219" s="322">
        <v>18.100000000000001</v>
      </c>
      <c r="J219" s="322"/>
    </row>
    <row r="220" spans="1:10" x14ac:dyDescent="0.2">
      <c r="A220" s="317" t="s">
        <v>1110</v>
      </c>
      <c r="B220" s="317" t="s">
        <v>318</v>
      </c>
      <c r="C220" s="318">
        <v>43708</v>
      </c>
      <c r="D220" s="319" t="s">
        <v>1326</v>
      </c>
      <c r="E220" s="317" t="s">
        <v>1398</v>
      </c>
      <c r="F220" s="320" t="s">
        <v>1113</v>
      </c>
      <c r="G220" s="321">
        <v>5685</v>
      </c>
      <c r="H220" s="321"/>
      <c r="I220" s="322">
        <v>74.17</v>
      </c>
      <c r="J220" s="322"/>
    </row>
    <row r="221" spans="1:10" x14ac:dyDescent="0.2">
      <c r="A221" s="317" t="s">
        <v>1110</v>
      </c>
      <c r="B221" s="317" t="s">
        <v>318</v>
      </c>
      <c r="C221" s="318">
        <v>43708</v>
      </c>
      <c r="D221" s="319" t="s">
        <v>1326</v>
      </c>
      <c r="E221" s="317" t="s">
        <v>1399</v>
      </c>
      <c r="F221" s="320" t="s">
        <v>1113</v>
      </c>
      <c r="G221" s="321">
        <v>5685</v>
      </c>
      <c r="H221" s="321"/>
      <c r="I221" s="322">
        <v>36.61</v>
      </c>
      <c r="J221" s="322"/>
    </row>
    <row r="222" spans="1:10" x14ac:dyDescent="0.2">
      <c r="A222" s="317" t="s">
        <v>1110</v>
      </c>
      <c r="B222" s="317" t="s">
        <v>318</v>
      </c>
      <c r="C222" s="318">
        <v>43708</v>
      </c>
      <c r="D222" s="319" t="s">
        <v>1326</v>
      </c>
      <c r="E222" s="317" t="s">
        <v>1400</v>
      </c>
      <c r="F222" s="320" t="s">
        <v>1113</v>
      </c>
      <c r="G222" s="321">
        <v>5685</v>
      </c>
      <c r="H222" s="321"/>
      <c r="I222" s="322">
        <v>46.96</v>
      </c>
      <c r="J222" s="322"/>
    </row>
    <row r="223" spans="1:10" x14ac:dyDescent="0.2">
      <c r="A223" s="317" t="s">
        <v>1110</v>
      </c>
      <c r="B223" s="317" t="s">
        <v>318</v>
      </c>
      <c r="C223" s="318">
        <v>43708</v>
      </c>
      <c r="D223" s="319" t="s">
        <v>1326</v>
      </c>
      <c r="E223" s="317" t="s">
        <v>1401</v>
      </c>
      <c r="F223" s="320" t="s">
        <v>1113</v>
      </c>
      <c r="G223" s="321">
        <v>5685</v>
      </c>
      <c r="H223" s="321"/>
      <c r="I223" s="322">
        <v>44.87</v>
      </c>
      <c r="J223" s="322"/>
    </row>
    <row r="224" spans="1:10" x14ac:dyDescent="0.2">
      <c r="A224" s="317" t="s">
        <v>1110</v>
      </c>
      <c r="B224" s="317" t="s">
        <v>318</v>
      </c>
      <c r="C224" s="318">
        <v>43708</v>
      </c>
      <c r="D224" s="319" t="s">
        <v>1326</v>
      </c>
      <c r="E224" s="317" t="s">
        <v>1399</v>
      </c>
      <c r="F224" s="320" t="s">
        <v>1113</v>
      </c>
      <c r="G224" s="321">
        <v>5685</v>
      </c>
      <c r="H224" s="321"/>
      <c r="I224" s="322">
        <v>34.78</v>
      </c>
      <c r="J224" s="322"/>
    </row>
    <row r="225" spans="1:10" s="180" customFormat="1" x14ac:dyDescent="0.2">
      <c r="A225" s="317" t="s">
        <v>1110</v>
      </c>
      <c r="B225" s="317" t="s">
        <v>318</v>
      </c>
      <c r="C225" s="318">
        <v>43709</v>
      </c>
      <c r="D225" s="319" t="s">
        <v>1221</v>
      </c>
      <c r="E225" s="317" t="s">
        <v>1394</v>
      </c>
      <c r="F225" s="320" t="s">
        <v>1113</v>
      </c>
      <c r="G225" s="321">
        <v>5668</v>
      </c>
      <c r="H225" s="321"/>
      <c r="I225" s="322"/>
      <c r="J225" s="322">
        <v>120.71</v>
      </c>
    </row>
    <row r="226" spans="1:10" x14ac:dyDescent="0.2">
      <c r="A226" s="317" t="s">
        <v>1110</v>
      </c>
      <c r="B226" s="317" t="s">
        <v>318</v>
      </c>
      <c r="C226" s="318">
        <v>43709</v>
      </c>
      <c r="D226" s="319" t="s">
        <v>1221</v>
      </c>
      <c r="E226" s="317" t="s">
        <v>1395</v>
      </c>
      <c r="F226" s="320" t="s">
        <v>1113</v>
      </c>
      <c r="G226" s="321">
        <v>5668</v>
      </c>
      <c r="H226" s="321"/>
      <c r="I226" s="322"/>
      <c r="J226" s="322">
        <v>90.68</v>
      </c>
    </row>
    <row r="227" spans="1:10" x14ac:dyDescent="0.2">
      <c r="A227" s="317" t="s">
        <v>1110</v>
      </c>
      <c r="B227" s="317" t="s">
        <v>318</v>
      </c>
      <c r="C227" s="318">
        <v>43709</v>
      </c>
      <c r="D227" s="319" t="s">
        <v>1221</v>
      </c>
      <c r="E227" s="317" t="s">
        <v>1396</v>
      </c>
      <c r="F227" s="320" t="s">
        <v>1113</v>
      </c>
      <c r="G227" s="321">
        <v>5668</v>
      </c>
      <c r="H227" s="321"/>
      <c r="I227" s="322"/>
      <c r="J227" s="322">
        <v>46.49</v>
      </c>
    </row>
    <row r="228" spans="1:10" x14ac:dyDescent="0.2">
      <c r="A228" s="317" t="s">
        <v>1110</v>
      </c>
      <c r="B228" s="317" t="s">
        <v>318</v>
      </c>
      <c r="C228" s="318">
        <v>43728</v>
      </c>
      <c r="D228" s="319" t="s">
        <v>1402</v>
      </c>
      <c r="E228" s="317" t="s">
        <v>1224</v>
      </c>
      <c r="F228" s="320" t="s">
        <v>1139</v>
      </c>
      <c r="G228" s="321">
        <v>5706</v>
      </c>
      <c r="H228" s="321">
        <v>10856</v>
      </c>
      <c r="I228" s="322"/>
      <c r="J228" s="322">
        <v>8.6999999999999993</v>
      </c>
    </row>
    <row r="229" spans="1:10" x14ac:dyDescent="0.2">
      <c r="A229" s="317" t="s">
        <v>1110</v>
      </c>
      <c r="B229" s="317" t="s">
        <v>318</v>
      </c>
      <c r="C229" s="318">
        <v>43727</v>
      </c>
      <c r="D229" s="319" t="s">
        <v>1350</v>
      </c>
      <c r="E229" s="317" t="s">
        <v>1403</v>
      </c>
      <c r="F229" s="320" t="s">
        <v>1113</v>
      </c>
      <c r="G229" s="321">
        <v>5710</v>
      </c>
      <c r="H229" s="321"/>
      <c r="I229" s="322">
        <v>77.48</v>
      </c>
      <c r="J229" s="322"/>
    </row>
    <row r="230" spans="1:10" s="180" customFormat="1" x14ac:dyDescent="0.2">
      <c r="A230" s="317" t="s">
        <v>1110</v>
      </c>
      <c r="B230" s="317" t="s">
        <v>318</v>
      </c>
      <c r="C230" s="318">
        <v>43727</v>
      </c>
      <c r="D230" s="319" t="s">
        <v>1326</v>
      </c>
      <c r="E230" s="317" t="s">
        <v>1400</v>
      </c>
      <c r="F230" s="320" t="s">
        <v>1113</v>
      </c>
      <c r="G230" s="321">
        <v>5710</v>
      </c>
      <c r="H230" s="321"/>
      <c r="I230" s="322">
        <v>43.04</v>
      </c>
      <c r="J230" s="322"/>
    </row>
    <row r="231" spans="1:10" s="194" customFormat="1" x14ac:dyDescent="0.2">
      <c r="A231" s="357" t="s">
        <v>1110</v>
      </c>
      <c r="B231" s="357" t="s">
        <v>318</v>
      </c>
      <c r="C231" s="358">
        <v>43728</v>
      </c>
      <c r="D231" s="359" t="s">
        <v>293</v>
      </c>
      <c r="E231" s="357" t="s">
        <v>1394</v>
      </c>
      <c r="F231" s="360" t="s">
        <v>1113</v>
      </c>
      <c r="G231" s="361">
        <v>5704</v>
      </c>
      <c r="H231" s="361"/>
      <c r="I231" s="362">
        <v>120.71</v>
      </c>
      <c r="J231" s="362"/>
    </row>
    <row r="232" spans="1:10" s="194" customFormat="1" x14ac:dyDescent="0.2">
      <c r="A232" s="357" t="s">
        <v>1110</v>
      </c>
      <c r="B232" s="357" t="s">
        <v>318</v>
      </c>
      <c r="C232" s="358">
        <v>43728</v>
      </c>
      <c r="D232" s="359" t="s">
        <v>293</v>
      </c>
      <c r="E232" s="357" t="s">
        <v>1395</v>
      </c>
      <c r="F232" s="360" t="s">
        <v>1113</v>
      </c>
      <c r="G232" s="361">
        <v>5704</v>
      </c>
      <c r="H232" s="361"/>
      <c r="I232" s="362">
        <v>90.68</v>
      </c>
      <c r="J232" s="362"/>
    </row>
    <row r="233" spans="1:10" s="194" customFormat="1" x14ac:dyDescent="0.2">
      <c r="A233" s="357" t="s">
        <v>1110</v>
      </c>
      <c r="B233" s="357" t="s">
        <v>318</v>
      </c>
      <c r="C233" s="358">
        <v>43728</v>
      </c>
      <c r="D233" s="359" t="s">
        <v>293</v>
      </c>
      <c r="E233" s="357" t="s">
        <v>1396</v>
      </c>
      <c r="F233" s="360" t="s">
        <v>1113</v>
      </c>
      <c r="G233" s="361">
        <v>5704</v>
      </c>
      <c r="H233" s="361"/>
      <c r="I233" s="362">
        <v>46.49</v>
      </c>
      <c r="J233" s="362"/>
    </row>
    <row r="234" spans="1:10" x14ac:dyDescent="0.2">
      <c r="A234" s="317" t="s">
        <v>1110</v>
      </c>
      <c r="B234" s="317" t="s">
        <v>318</v>
      </c>
      <c r="C234" s="318">
        <v>43738</v>
      </c>
      <c r="D234" s="319" t="s">
        <v>1221</v>
      </c>
      <c r="E234" s="317" t="s">
        <v>1404</v>
      </c>
      <c r="F234" s="320" t="s">
        <v>1113</v>
      </c>
      <c r="G234" s="321">
        <v>5723</v>
      </c>
      <c r="H234" s="321"/>
      <c r="I234" s="322">
        <v>35.1</v>
      </c>
      <c r="J234" s="322"/>
    </row>
    <row r="235" spans="1:10" s="180" customFormat="1" x14ac:dyDescent="0.2">
      <c r="A235" s="317" t="s">
        <v>1110</v>
      </c>
      <c r="B235" s="317" t="s">
        <v>318</v>
      </c>
      <c r="C235" s="318">
        <v>43739</v>
      </c>
      <c r="D235" s="319" t="s">
        <v>1221</v>
      </c>
      <c r="E235" s="317" t="s">
        <v>1404</v>
      </c>
      <c r="F235" s="320" t="s">
        <v>1113</v>
      </c>
      <c r="G235" s="321">
        <v>5742</v>
      </c>
      <c r="H235" s="321"/>
      <c r="I235" s="322"/>
      <c r="J235" s="322">
        <v>35.1</v>
      </c>
    </row>
    <row r="236" spans="1:10" s="194" customFormat="1" x14ac:dyDescent="0.2">
      <c r="A236" s="357" t="s">
        <v>1110</v>
      </c>
      <c r="B236" s="357" t="s">
        <v>318</v>
      </c>
      <c r="C236" s="358">
        <v>43768</v>
      </c>
      <c r="D236" s="359" t="s">
        <v>293</v>
      </c>
      <c r="E236" s="357" t="s">
        <v>1404</v>
      </c>
      <c r="F236" s="360" t="s">
        <v>1113</v>
      </c>
      <c r="G236" s="361">
        <v>5768</v>
      </c>
      <c r="H236" s="361"/>
      <c r="I236" s="362">
        <v>35.1</v>
      </c>
      <c r="J236" s="362"/>
    </row>
    <row r="237" spans="1:10" x14ac:dyDescent="0.2">
      <c r="A237" s="306"/>
      <c r="B237" s="306"/>
      <c r="C237" s="306"/>
      <c r="D237" s="306"/>
      <c r="E237" s="306"/>
      <c r="F237" s="306"/>
      <c r="G237" s="306"/>
      <c r="H237" s="306"/>
      <c r="I237" s="323">
        <v>1243.32</v>
      </c>
      <c r="J237" s="323">
        <v>406.42</v>
      </c>
    </row>
    <row r="238" spans="1:10" x14ac:dyDescent="0.2">
      <c r="A238" s="306"/>
      <c r="B238" s="306"/>
      <c r="C238" s="306"/>
      <c r="D238" s="306"/>
      <c r="E238" s="306"/>
      <c r="F238" s="306"/>
      <c r="G238" s="306"/>
      <c r="H238" s="366" t="s">
        <v>1348</v>
      </c>
      <c r="I238" s="368">
        <f>I211+I231+I232+I233+I236</f>
        <v>369.94000000000005</v>
      </c>
      <c r="J238" s="306"/>
    </row>
    <row r="239" spans="1:10" x14ac:dyDescent="0.2">
      <c r="A239" s="316" t="s">
        <v>1155</v>
      </c>
      <c r="B239" s="311"/>
      <c r="C239" s="311"/>
      <c r="D239" s="311"/>
      <c r="E239" s="311"/>
      <c r="F239" s="311"/>
      <c r="G239" s="311"/>
      <c r="H239" s="311"/>
      <c r="I239" s="311"/>
      <c r="J239" s="311"/>
    </row>
    <row r="240" spans="1:10" x14ac:dyDescent="0.2">
      <c r="A240" s="317" t="s">
        <v>1133</v>
      </c>
      <c r="B240" s="317" t="s">
        <v>318</v>
      </c>
      <c r="C240" s="318">
        <v>43677</v>
      </c>
      <c r="D240" s="319" t="s">
        <v>293</v>
      </c>
      <c r="E240" s="317" t="s">
        <v>1331</v>
      </c>
      <c r="F240" s="320" t="s">
        <v>1113</v>
      </c>
      <c r="G240" s="321">
        <v>5620</v>
      </c>
      <c r="H240" s="321"/>
      <c r="I240" s="322">
        <v>61.74</v>
      </c>
      <c r="J240" s="322"/>
    </row>
    <row r="241" spans="1:10" x14ac:dyDescent="0.2">
      <c r="A241" s="317" t="s">
        <v>1133</v>
      </c>
      <c r="B241" s="317" t="s">
        <v>318</v>
      </c>
      <c r="C241" s="318">
        <v>43678</v>
      </c>
      <c r="D241" s="319" t="s">
        <v>293</v>
      </c>
      <c r="E241" s="317" t="s">
        <v>1331</v>
      </c>
      <c r="F241" s="320" t="s">
        <v>1113</v>
      </c>
      <c r="G241" s="321">
        <v>5640</v>
      </c>
      <c r="H241" s="321"/>
      <c r="I241" s="322"/>
      <c r="J241" s="322">
        <v>61.74</v>
      </c>
    </row>
    <row r="242" spans="1:10" s="194" customFormat="1" x14ac:dyDescent="0.2">
      <c r="A242" s="357" t="s">
        <v>1133</v>
      </c>
      <c r="B242" s="357" t="s">
        <v>318</v>
      </c>
      <c r="C242" s="358">
        <v>43705</v>
      </c>
      <c r="D242" s="359" t="s">
        <v>293</v>
      </c>
      <c r="E242" s="357" t="s">
        <v>1331</v>
      </c>
      <c r="F242" s="360" t="s">
        <v>1113</v>
      </c>
      <c r="G242" s="361">
        <v>5648</v>
      </c>
      <c r="H242" s="361"/>
      <c r="I242" s="362">
        <v>61.74</v>
      </c>
      <c r="J242" s="362"/>
    </row>
    <row r="243" spans="1:10" s="194" customFormat="1" x14ac:dyDescent="0.2">
      <c r="A243" s="357" t="s">
        <v>1232</v>
      </c>
      <c r="B243" s="357" t="s">
        <v>318</v>
      </c>
      <c r="C243" s="358">
        <v>43769</v>
      </c>
      <c r="D243" s="359" t="s">
        <v>293</v>
      </c>
      <c r="E243" s="357" t="s">
        <v>1190</v>
      </c>
      <c r="F243" s="360" t="s">
        <v>1113</v>
      </c>
      <c r="G243" s="361">
        <v>5786</v>
      </c>
      <c r="H243" s="361"/>
      <c r="I243" s="362">
        <v>61.74</v>
      </c>
      <c r="J243" s="362"/>
    </row>
    <row r="244" spans="1:10" x14ac:dyDescent="0.2">
      <c r="A244" s="317" t="s">
        <v>1110</v>
      </c>
      <c r="B244" s="317" t="s">
        <v>318</v>
      </c>
      <c r="C244" s="318">
        <v>43647</v>
      </c>
      <c r="D244" s="319" t="s">
        <v>293</v>
      </c>
      <c r="E244" s="317" t="s">
        <v>1332</v>
      </c>
      <c r="F244" s="320" t="s">
        <v>1113</v>
      </c>
      <c r="G244" s="321">
        <v>5564</v>
      </c>
      <c r="H244" s="321"/>
      <c r="I244" s="322"/>
      <c r="J244" s="322">
        <v>123.47</v>
      </c>
    </row>
    <row r="245" spans="1:10" x14ac:dyDescent="0.2">
      <c r="A245" s="317" t="s">
        <v>1110</v>
      </c>
      <c r="B245" s="317" t="s">
        <v>318</v>
      </c>
      <c r="C245" s="318">
        <v>43671</v>
      </c>
      <c r="D245" s="319" t="s">
        <v>293</v>
      </c>
      <c r="E245" s="317" t="s">
        <v>1332</v>
      </c>
      <c r="F245" s="320" t="s">
        <v>1113</v>
      </c>
      <c r="G245" s="321">
        <v>5608</v>
      </c>
      <c r="H245" s="321"/>
      <c r="I245" s="322">
        <v>123.47</v>
      </c>
      <c r="J245" s="322"/>
    </row>
    <row r="246" spans="1:10" x14ac:dyDescent="0.2">
      <c r="A246" s="317" t="s">
        <v>1110</v>
      </c>
      <c r="B246" s="317" t="s">
        <v>318</v>
      </c>
      <c r="C246" s="318">
        <v>43677</v>
      </c>
      <c r="D246" s="319" t="s">
        <v>293</v>
      </c>
      <c r="E246" s="317" t="s">
        <v>1378</v>
      </c>
      <c r="F246" s="320" t="s">
        <v>1113</v>
      </c>
      <c r="G246" s="321">
        <v>5620</v>
      </c>
      <c r="H246" s="321"/>
      <c r="I246" s="322">
        <v>123.47</v>
      </c>
      <c r="J246" s="322"/>
    </row>
    <row r="247" spans="1:10" x14ac:dyDescent="0.2">
      <c r="A247" s="317" t="s">
        <v>1110</v>
      </c>
      <c r="B247" s="317" t="s">
        <v>318</v>
      </c>
      <c r="C247" s="318">
        <v>43678</v>
      </c>
      <c r="D247" s="319" t="s">
        <v>293</v>
      </c>
      <c r="E247" s="317" t="s">
        <v>1378</v>
      </c>
      <c r="F247" s="320" t="s">
        <v>1113</v>
      </c>
      <c r="G247" s="321">
        <v>5640</v>
      </c>
      <c r="H247" s="321"/>
      <c r="I247" s="322"/>
      <c r="J247" s="322">
        <v>123.47</v>
      </c>
    </row>
    <row r="248" spans="1:10" x14ac:dyDescent="0.2">
      <c r="A248" s="317" t="s">
        <v>1110</v>
      </c>
      <c r="B248" s="317" t="s">
        <v>318</v>
      </c>
      <c r="C248" s="318">
        <v>43705</v>
      </c>
      <c r="D248" s="319" t="s">
        <v>293</v>
      </c>
      <c r="E248" s="317" t="s">
        <v>1378</v>
      </c>
      <c r="F248" s="320" t="s">
        <v>1113</v>
      </c>
      <c r="G248" s="321">
        <v>5648</v>
      </c>
      <c r="H248" s="321"/>
      <c r="I248" s="322">
        <v>123.47</v>
      </c>
      <c r="J248" s="322"/>
    </row>
    <row r="249" spans="1:10" x14ac:dyDescent="0.2">
      <c r="A249" s="317" t="s">
        <v>1110</v>
      </c>
      <c r="B249" s="317" t="s">
        <v>318</v>
      </c>
      <c r="C249" s="318">
        <v>43708</v>
      </c>
      <c r="D249" s="319" t="s">
        <v>293</v>
      </c>
      <c r="E249" s="317" t="s">
        <v>1346</v>
      </c>
      <c r="F249" s="320" t="s">
        <v>1113</v>
      </c>
      <c r="G249" s="321">
        <v>5672</v>
      </c>
      <c r="H249" s="321"/>
      <c r="I249" s="322">
        <v>185.21</v>
      </c>
      <c r="J249" s="322"/>
    </row>
    <row r="250" spans="1:10" x14ac:dyDescent="0.2">
      <c r="A250" s="317" t="s">
        <v>1110</v>
      </c>
      <c r="B250" s="317" t="s">
        <v>318</v>
      </c>
      <c r="C250" s="318">
        <v>43708</v>
      </c>
      <c r="D250" s="319" t="s">
        <v>1326</v>
      </c>
      <c r="E250" s="317" t="s">
        <v>1405</v>
      </c>
      <c r="F250" s="320" t="s">
        <v>1113</v>
      </c>
      <c r="G250" s="321">
        <v>5685</v>
      </c>
      <c r="H250" s="321"/>
      <c r="I250" s="322">
        <v>2.2599999999999998</v>
      </c>
      <c r="J250" s="322"/>
    </row>
    <row r="251" spans="1:10" x14ac:dyDescent="0.2">
      <c r="A251" s="317" t="s">
        <v>1110</v>
      </c>
      <c r="B251" s="317" t="s">
        <v>318</v>
      </c>
      <c r="C251" s="318">
        <v>43709</v>
      </c>
      <c r="D251" s="319" t="s">
        <v>293</v>
      </c>
      <c r="E251" s="317" t="s">
        <v>1346</v>
      </c>
      <c r="F251" s="320" t="s">
        <v>1113</v>
      </c>
      <c r="G251" s="321">
        <v>5676</v>
      </c>
      <c r="H251" s="321"/>
      <c r="I251" s="322"/>
      <c r="J251" s="322">
        <v>185.21</v>
      </c>
    </row>
    <row r="252" spans="1:10" s="194" customFormat="1" x14ac:dyDescent="0.2">
      <c r="A252" s="357" t="s">
        <v>1110</v>
      </c>
      <c r="B252" s="357" t="s">
        <v>318</v>
      </c>
      <c r="C252" s="358">
        <v>43728</v>
      </c>
      <c r="D252" s="359" t="s">
        <v>293</v>
      </c>
      <c r="E252" s="357" t="s">
        <v>1346</v>
      </c>
      <c r="F252" s="360" t="s">
        <v>1113</v>
      </c>
      <c r="G252" s="361">
        <v>5705</v>
      </c>
      <c r="H252" s="361"/>
      <c r="I252" s="362">
        <v>185.21</v>
      </c>
      <c r="J252" s="362"/>
    </row>
    <row r="253" spans="1:10" x14ac:dyDescent="0.2">
      <c r="A253" s="317" t="s">
        <v>1110</v>
      </c>
      <c r="B253" s="317" t="s">
        <v>318</v>
      </c>
      <c r="C253" s="318">
        <v>43738</v>
      </c>
      <c r="D253" s="319" t="s">
        <v>293</v>
      </c>
      <c r="E253" s="317" t="s">
        <v>1343</v>
      </c>
      <c r="F253" s="320" t="s">
        <v>1113</v>
      </c>
      <c r="G253" s="321">
        <v>5726</v>
      </c>
      <c r="H253" s="321"/>
      <c r="I253" s="322">
        <v>299.52</v>
      </c>
      <c r="J253" s="322"/>
    </row>
    <row r="254" spans="1:10" x14ac:dyDescent="0.2">
      <c r="A254" s="317" t="s">
        <v>1110</v>
      </c>
      <c r="B254" s="317" t="s">
        <v>318</v>
      </c>
      <c r="C254" s="318">
        <v>43739</v>
      </c>
      <c r="D254" s="319" t="s">
        <v>293</v>
      </c>
      <c r="E254" s="317" t="s">
        <v>1343</v>
      </c>
      <c r="F254" s="320" t="s">
        <v>1113</v>
      </c>
      <c r="G254" s="321">
        <v>5737</v>
      </c>
      <c r="H254" s="321"/>
      <c r="I254" s="322"/>
      <c r="J254" s="322">
        <v>299.52</v>
      </c>
    </row>
    <row r="255" spans="1:10" x14ac:dyDescent="0.2">
      <c r="A255" s="317" t="s">
        <v>1110</v>
      </c>
      <c r="B255" s="317" t="s">
        <v>318</v>
      </c>
      <c r="C255" s="318">
        <v>43769</v>
      </c>
      <c r="D255" s="319" t="s">
        <v>293</v>
      </c>
      <c r="E255" s="317" t="s">
        <v>1233</v>
      </c>
      <c r="F255" s="320" t="s">
        <v>1113</v>
      </c>
      <c r="G255" s="321">
        <v>5786</v>
      </c>
      <c r="H255" s="321"/>
      <c r="I255" s="322">
        <v>286.47000000000003</v>
      </c>
      <c r="J255" s="322"/>
    </row>
    <row r="256" spans="1:10" x14ac:dyDescent="0.2">
      <c r="A256" s="317" t="s">
        <v>1110</v>
      </c>
      <c r="B256" s="317" t="s">
        <v>318</v>
      </c>
      <c r="C256" s="318">
        <v>43768</v>
      </c>
      <c r="D256" s="319" t="s">
        <v>293</v>
      </c>
      <c r="E256" s="317" t="s">
        <v>1343</v>
      </c>
      <c r="F256" s="320" t="s">
        <v>1113</v>
      </c>
      <c r="G256" s="321">
        <v>5769</v>
      </c>
      <c r="H256" s="321"/>
      <c r="I256" s="322">
        <v>299.52</v>
      </c>
      <c r="J256" s="322"/>
    </row>
    <row r="257" spans="1:10" x14ac:dyDescent="0.2">
      <c r="A257" s="317" t="s">
        <v>1110</v>
      </c>
      <c r="B257" s="317" t="s">
        <v>318</v>
      </c>
      <c r="C257" s="318">
        <v>43769</v>
      </c>
      <c r="D257" s="319" t="s">
        <v>1115</v>
      </c>
      <c r="E257" s="317" t="s">
        <v>1180</v>
      </c>
      <c r="F257" s="320" t="s">
        <v>1113</v>
      </c>
      <c r="G257" s="321">
        <v>5792</v>
      </c>
      <c r="H257" s="321"/>
      <c r="I257" s="322">
        <v>50.6</v>
      </c>
      <c r="J257" s="322"/>
    </row>
    <row r="258" spans="1:10" x14ac:dyDescent="0.2">
      <c r="A258" s="317" t="s">
        <v>1110</v>
      </c>
      <c r="B258" s="317" t="s">
        <v>318</v>
      </c>
      <c r="C258" s="318">
        <v>43769</v>
      </c>
      <c r="D258" s="319" t="s">
        <v>1134</v>
      </c>
      <c r="E258" s="317" t="s">
        <v>1180</v>
      </c>
      <c r="F258" s="320" t="s">
        <v>1113</v>
      </c>
      <c r="G258" s="321">
        <v>5792</v>
      </c>
      <c r="H258" s="321"/>
      <c r="I258" s="322">
        <v>33.43</v>
      </c>
      <c r="J258" s="322"/>
    </row>
    <row r="259" spans="1:10" x14ac:dyDescent="0.2">
      <c r="A259" s="317" t="s">
        <v>1110</v>
      </c>
      <c r="B259" s="317" t="s">
        <v>1406</v>
      </c>
      <c r="C259" s="318">
        <v>43727</v>
      </c>
      <c r="D259" s="319" t="s">
        <v>1326</v>
      </c>
      <c r="E259" s="317" t="s">
        <v>1407</v>
      </c>
      <c r="F259" s="320" t="s">
        <v>1113</v>
      </c>
      <c r="G259" s="321">
        <v>5710</v>
      </c>
      <c r="H259" s="321"/>
      <c r="I259" s="322">
        <v>7.48</v>
      </c>
      <c r="J259" s="322"/>
    </row>
    <row r="260" spans="1:10" s="194" customFormat="1" x14ac:dyDescent="0.2">
      <c r="A260" s="357" t="s">
        <v>1110</v>
      </c>
      <c r="B260" s="357" t="s">
        <v>1158</v>
      </c>
      <c r="C260" s="358">
        <v>43727</v>
      </c>
      <c r="D260" s="359" t="s">
        <v>1319</v>
      </c>
      <c r="E260" s="357" t="s">
        <v>1385</v>
      </c>
      <c r="F260" s="360" t="s">
        <v>1113</v>
      </c>
      <c r="G260" s="361">
        <v>5709</v>
      </c>
      <c r="H260" s="361"/>
      <c r="I260" s="362">
        <v>73.040000000000006</v>
      </c>
      <c r="J260" s="362"/>
    </row>
    <row r="261" spans="1:10" x14ac:dyDescent="0.2">
      <c r="A261" s="306"/>
      <c r="B261" s="306"/>
      <c r="C261" s="306"/>
      <c r="D261" s="306"/>
      <c r="E261" s="306"/>
      <c r="F261" s="306"/>
      <c r="G261" s="306"/>
      <c r="H261" s="306"/>
      <c r="I261" s="323">
        <v>1978.37</v>
      </c>
      <c r="J261" s="323">
        <v>793.41</v>
      </c>
    </row>
    <row r="262" spans="1:10" x14ac:dyDescent="0.2">
      <c r="A262" s="306"/>
      <c r="B262" s="306"/>
      <c r="C262" s="306"/>
      <c r="D262" s="306"/>
      <c r="E262" s="306"/>
      <c r="F262" s="306"/>
      <c r="G262" s="306"/>
      <c r="H262" s="366" t="s">
        <v>1348</v>
      </c>
      <c r="I262" s="368">
        <f>I242+I243+I252+I260</f>
        <v>381.73</v>
      </c>
      <c r="J262" s="306"/>
    </row>
    <row r="263" spans="1:10" x14ac:dyDescent="0.2">
      <c r="A263" s="316" t="s">
        <v>1234</v>
      </c>
      <c r="B263" s="311"/>
      <c r="C263" s="311"/>
      <c r="D263" s="311"/>
      <c r="E263" s="311"/>
      <c r="F263" s="311"/>
      <c r="G263" s="311"/>
      <c r="H263" s="311"/>
      <c r="I263" s="311"/>
      <c r="J263" s="311"/>
    </row>
    <row r="264" spans="1:10" s="194" customFormat="1" x14ac:dyDescent="0.2">
      <c r="A264" s="357" t="s">
        <v>1235</v>
      </c>
      <c r="B264" s="357" t="s">
        <v>318</v>
      </c>
      <c r="C264" s="358">
        <v>43769</v>
      </c>
      <c r="D264" s="359" t="s">
        <v>293</v>
      </c>
      <c r="E264" s="357" t="s">
        <v>1236</v>
      </c>
      <c r="F264" s="360" t="s">
        <v>1113</v>
      </c>
      <c r="G264" s="361">
        <v>5786</v>
      </c>
      <c r="H264" s="361"/>
      <c r="I264" s="362">
        <v>7777.23</v>
      </c>
      <c r="J264" s="362"/>
    </row>
    <row r="265" spans="1:10" s="194" customFormat="1" x14ac:dyDescent="0.2">
      <c r="A265" s="357" t="s">
        <v>1232</v>
      </c>
      <c r="B265" s="357" t="s">
        <v>318</v>
      </c>
      <c r="C265" s="358">
        <v>43647</v>
      </c>
      <c r="D265" s="359" t="s">
        <v>293</v>
      </c>
      <c r="E265" s="357" t="s">
        <v>1408</v>
      </c>
      <c r="F265" s="360" t="s">
        <v>1113</v>
      </c>
      <c r="G265" s="361">
        <v>5564</v>
      </c>
      <c r="H265" s="361"/>
      <c r="I265" s="362"/>
      <c r="J265" s="362">
        <v>31.32</v>
      </c>
    </row>
    <row r="266" spans="1:10" s="194" customFormat="1" x14ac:dyDescent="0.2">
      <c r="A266" s="357" t="s">
        <v>1232</v>
      </c>
      <c r="B266" s="357" t="s">
        <v>318</v>
      </c>
      <c r="C266" s="358">
        <v>43671</v>
      </c>
      <c r="D266" s="359" t="s">
        <v>293</v>
      </c>
      <c r="E266" s="357" t="s">
        <v>1408</v>
      </c>
      <c r="F266" s="360" t="s">
        <v>1113</v>
      </c>
      <c r="G266" s="361">
        <v>5608</v>
      </c>
      <c r="H266" s="361"/>
      <c r="I266" s="362">
        <v>31.32</v>
      </c>
      <c r="J266" s="362"/>
    </row>
    <row r="267" spans="1:10" s="194" customFormat="1" x14ac:dyDescent="0.2">
      <c r="A267" s="357" t="s">
        <v>1232</v>
      </c>
      <c r="B267" s="357" t="s">
        <v>318</v>
      </c>
      <c r="C267" s="358">
        <v>43708</v>
      </c>
      <c r="D267" s="359" t="s">
        <v>293</v>
      </c>
      <c r="E267" s="357" t="s">
        <v>1409</v>
      </c>
      <c r="F267" s="360" t="s">
        <v>1113</v>
      </c>
      <c r="G267" s="361">
        <v>5672</v>
      </c>
      <c r="H267" s="361"/>
      <c r="I267" s="362">
        <v>19159.080000000002</v>
      </c>
      <c r="J267" s="362"/>
    </row>
    <row r="268" spans="1:10" s="194" customFormat="1" x14ac:dyDescent="0.2">
      <c r="A268" s="357" t="s">
        <v>1232</v>
      </c>
      <c r="B268" s="357" t="s">
        <v>318</v>
      </c>
      <c r="C268" s="358">
        <v>43709</v>
      </c>
      <c r="D268" s="359" t="s">
        <v>293</v>
      </c>
      <c r="E268" s="357" t="s">
        <v>1409</v>
      </c>
      <c r="F268" s="360" t="s">
        <v>1113</v>
      </c>
      <c r="G268" s="361">
        <v>5676</v>
      </c>
      <c r="H268" s="361"/>
      <c r="I268" s="362"/>
      <c r="J268" s="362">
        <v>19159.080000000002</v>
      </c>
    </row>
    <row r="269" spans="1:10" s="194" customFormat="1" x14ac:dyDescent="0.2">
      <c r="A269" s="357" t="s">
        <v>1232</v>
      </c>
      <c r="B269" s="357" t="s">
        <v>318</v>
      </c>
      <c r="C269" s="358">
        <v>43728</v>
      </c>
      <c r="D269" s="359" t="s">
        <v>293</v>
      </c>
      <c r="E269" s="357" t="s">
        <v>1409</v>
      </c>
      <c r="F269" s="360" t="s">
        <v>1113</v>
      </c>
      <c r="G269" s="361">
        <v>5705</v>
      </c>
      <c r="H269" s="361"/>
      <c r="I269" s="362">
        <v>19159.080000000002</v>
      </c>
      <c r="J269" s="362"/>
    </row>
    <row r="270" spans="1:10" s="194" customFormat="1" x14ac:dyDescent="0.2">
      <c r="A270" s="357" t="s">
        <v>1232</v>
      </c>
      <c r="B270" s="357" t="s">
        <v>318</v>
      </c>
      <c r="C270" s="358">
        <v>43738</v>
      </c>
      <c r="D270" s="359" t="s">
        <v>293</v>
      </c>
      <c r="E270" s="357" t="s">
        <v>1409</v>
      </c>
      <c r="F270" s="360" t="s">
        <v>1113</v>
      </c>
      <c r="G270" s="361">
        <v>5726</v>
      </c>
      <c r="H270" s="361"/>
      <c r="I270" s="362">
        <v>349.55</v>
      </c>
      <c r="J270" s="362"/>
    </row>
    <row r="271" spans="1:10" s="194" customFormat="1" x14ac:dyDescent="0.2">
      <c r="A271" s="357" t="s">
        <v>1232</v>
      </c>
      <c r="B271" s="357" t="s">
        <v>318</v>
      </c>
      <c r="C271" s="358">
        <v>43739</v>
      </c>
      <c r="D271" s="359" t="s">
        <v>293</v>
      </c>
      <c r="E271" s="357" t="s">
        <v>1409</v>
      </c>
      <c r="F271" s="360" t="s">
        <v>1113</v>
      </c>
      <c r="G271" s="361">
        <v>5737</v>
      </c>
      <c r="H271" s="361"/>
      <c r="I271" s="362"/>
      <c r="J271" s="362">
        <v>349.55</v>
      </c>
    </row>
    <row r="272" spans="1:10" s="194" customFormat="1" x14ac:dyDescent="0.2">
      <c r="A272" s="357" t="s">
        <v>1232</v>
      </c>
      <c r="B272" s="357" t="s">
        <v>318</v>
      </c>
      <c r="C272" s="358">
        <v>43768</v>
      </c>
      <c r="D272" s="359" t="s">
        <v>293</v>
      </c>
      <c r="E272" s="357" t="s">
        <v>1409</v>
      </c>
      <c r="F272" s="360" t="s">
        <v>1113</v>
      </c>
      <c r="G272" s="361">
        <v>5769</v>
      </c>
      <c r="H272" s="361"/>
      <c r="I272" s="362">
        <v>349.55</v>
      </c>
      <c r="J272" s="362"/>
    </row>
    <row r="273" spans="1:11" x14ac:dyDescent="0.2">
      <c r="A273" s="306"/>
      <c r="B273" s="306"/>
      <c r="C273" s="306"/>
      <c r="D273" s="306"/>
      <c r="E273" s="306"/>
      <c r="F273" s="306"/>
      <c r="G273" s="306"/>
      <c r="H273" s="306"/>
      <c r="I273" s="323">
        <v>46825.810000000012</v>
      </c>
      <c r="J273" s="323">
        <v>19539.95</v>
      </c>
    </row>
    <row r="274" spans="1:11" x14ac:dyDescent="0.2">
      <c r="A274" s="306"/>
      <c r="B274" s="306"/>
      <c r="C274" s="306"/>
      <c r="D274" s="306"/>
      <c r="E274" s="306"/>
      <c r="F274" s="306"/>
      <c r="G274" s="306"/>
      <c r="H274" s="306"/>
      <c r="I274" s="306"/>
      <c r="J274" s="306"/>
    </row>
    <row r="275" spans="1:11" x14ac:dyDescent="0.2">
      <c r="A275" s="316" t="s">
        <v>1157</v>
      </c>
      <c r="B275" s="311"/>
      <c r="C275" s="311"/>
      <c r="D275" s="311"/>
      <c r="E275" s="311"/>
      <c r="F275" s="311"/>
      <c r="G275" s="311"/>
      <c r="H275" s="311"/>
      <c r="I275" s="311"/>
      <c r="J275" s="311"/>
    </row>
    <row r="276" spans="1:11" s="194" customFormat="1" x14ac:dyDescent="0.2">
      <c r="A276" s="357" t="s">
        <v>1410</v>
      </c>
      <c r="B276" s="357" t="s">
        <v>318</v>
      </c>
      <c r="C276" s="358">
        <v>43727</v>
      </c>
      <c r="D276" s="359" t="s">
        <v>1319</v>
      </c>
      <c r="E276" s="357" t="s">
        <v>1411</v>
      </c>
      <c r="F276" s="360" t="s">
        <v>1113</v>
      </c>
      <c r="G276" s="361">
        <v>5710</v>
      </c>
      <c r="H276" s="361"/>
      <c r="I276" s="362">
        <v>252.84</v>
      </c>
      <c r="J276" s="362"/>
    </row>
    <row r="277" spans="1:11" s="194" customFormat="1" x14ac:dyDescent="0.2">
      <c r="A277" s="357" t="s">
        <v>1410</v>
      </c>
      <c r="B277" s="357" t="s">
        <v>1158</v>
      </c>
      <c r="C277" s="358">
        <v>43717</v>
      </c>
      <c r="D277" s="359" t="s">
        <v>1412</v>
      </c>
      <c r="E277" s="357" t="s">
        <v>1413</v>
      </c>
      <c r="F277" s="360" t="s">
        <v>1139</v>
      </c>
      <c r="G277" s="361">
        <v>5706</v>
      </c>
      <c r="H277" s="361">
        <v>10825</v>
      </c>
      <c r="I277" s="362">
        <v>295</v>
      </c>
      <c r="J277" s="362"/>
    </row>
    <row r="278" spans="1:11" s="194" customFormat="1" x14ac:dyDescent="0.2">
      <c r="A278" s="357" t="s">
        <v>1410</v>
      </c>
      <c r="B278" s="357" t="s">
        <v>1158</v>
      </c>
      <c r="C278" s="358">
        <v>43769</v>
      </c>
      <c r="D278" s="359" t="s">
        <v>1115</v>
      </c>
      <c r="E278" s="357" t="s">
        <v>1414</v>
      </c>
      <c r="F278" s="360" t="s">
        <v>1113</v>
      </c>
      <c r="G278" s="361">
        <v>5806</v>
      </c>
      <c r="H278" s="361"/>
      <c r="I278" s="362">
        <v>34.659999999999997</v>
      </c>
      <c r="J278" s="362"/>
    </row>
    <row r="279" spans="1:11" s="383" customFormat="1" x14ac:dyDescent="0.2">
      <c r="A279" s="376" t="s">
        <v>1410</v>
      </c>
      <c r="B279" s="376" t="s">
        <v>1158</v>
      </c>
      <c r="C279" s="377">
        <v>43769</v>
      </c>
      <c r="D279" s="378" t="s">
        <v>1115</v>
      </c>
      <c r="E279" s="376" t="s">
        <v>1415</v>
      </c>
      <c r="F279" s="379" t="s">
        <v>1113</v>
      </c>
      <c r="G279" s="380">
        <v>5806</v>
      </c>
      <c r="H279" s="380"/>
      <c r="I279" s="381">
        <v>15.93</v>
      </c>
      <c r="J279" s="381"/>
      <c r="K279" s="382" t="s">
        <v>1416</v>
      </c>
    </row>
    <row r="280" spans="1:11" s="194" customFormat="1" x14ac:dyDescent="0.2">
      <c r="A280" s="357" t="s">
        <v>1410</v>
      </c>
      <c r="B280" s="357" t="s">
        <v>1158</v>
      </c>
      <c r="C280" s="358">
        <v>43769</v>
      </c>
      <c r="D280" s="359" t="s">
        <v>1115</v>
      </c>
      <c r="E280" s="357" t="s">
        <v>1417</v>
      </c>
      <c r="F280" s="360" t="s">
        <v>1113</v>
      </c>
      <c r="G280" s="361">
        <v>5806</v>
      </c>
      <c r="H280" s="361"/>
      <c r="I280" s="362">
        <v>224.99</v>
      </c>
      <c r="J280" s="362"/>
    </row>
    <row r="281" spans="1:11" s="194" customFormat="1" x14ac:dyDescent="0.2">
      <c r="A281" s="357" t="s">
        <v>1418</v>
      </c>
      <c r="B281" s="357" t="s">
        <v>1158</v>
      </c>
      <c r="C281" s="358">
        <v>43769</v>
      </c>
      <c r="D281" s="359" t="s">
        <v>1115</v>
      </c>
      <c r="E281" s="357" t="s">
        <v>1419</v>
      </c>
      <c r="F281" s="360" t="s">
        <v>1113</v>
      </c>
      <c r="G281" s="361">
        <v>5806</v>
      </c>
      <c r="H281" s="361"/>
      <c r="I281" s="362">
        <v>558.16999999999996</v>
      </c>
      <c r="J281" s="362"/>
    </row>
    <row r="282" spans="1:11" s="194" customFormat="1" x14ac:dyDescent="0.2">
      <c r="A282" s="357" t="s">
        <v>1418</v>
      </c>
      <c r="B282" s="357" t="s">
        <v>1158</v>
      </c>
      <c r="C282" s="358">
        <v>43769</v>
      </c>
      <c r="D282" s="359" t="s">
        <v>1115</v>
      </c>
      <c r="E282" s="357" t="s">
        <v>1419</v>
      </c>
      <c r="F282" s="360" t="s">
        <v>1113</v>
      </c>
      <c r="G282" s="361">
        <v>5806</v>
      </c>
      <c r="H282" s="361"/>
      <c r="I282" s="362">
        <v>1979.1</v>
      </c>
      <c r="J282" s="362"/>
    </row>
    <row r="283" spans="1:11" s="194" customFormat="1" x14ac:dyDescent="0.2">
      <c r="A283" s="357" t="s">
        <v>1232</v>
      </c>
      <c r="B283" s="357" t="s">
        <v>318</v>
      </c>
      <c r="C283" s="358">
        <v>43708</v>
      </c>
      <c r="D283" s="359" t="s">
        <v>293</v>
      </c>
      <c r="E283" s="357" t="s">
        <v>1409</v>
      </c>
      <c r="F283" s="360" t="s">
        <v>1113</v>
      </c>
      <c r="G283" s="361">
        <v>5672</v>
      </c>
      <c r="H283" s="361"/>
      <c r="I283" s="362">
        <v>2679.04</v>
      </c>
      <c r="J283" s="362"/>
    </row>
    <row r="284" spans="1:11" s="194" customFormat="1" x14ac:dyDescent="0.2">
      <c r="A284" s="357" t="s">
        <v>1232</v>
      </c>
      <c r="B284" s="357" t="s">
        <v>318</v>
      </c>
      <c r="C284" s="358">
        <v>43709</v>
      </c>
      <c r="D284" s="359" t="s">
        <v>293</v>
      </c>
      <c r="E284" s="357" t="s">
        <v>1409</v>
      </c>
      <c r="F284" s="360" t="s">
        <v>1113</v>
      </c>
      <c r="G284" s="361">
        <v>5676</v>
      </c>
      <c r="H284" s="361"/>
      <c r="I284" s="362"/>
      <c r="J284" s="362">
        <v>2679.04</v>
      </c>
    </row>
    <row r="285" spans="1:11" s="194" customFormat="1" x14ac:dyDescent="0.2">
      <c r="A285" s="357" t="s">
        <v>1232</v>
      </c>
      <c r="B285" s="357" t="s">
        <v>318</v>
      </c>
      <c r="C285" s="358">
        <v>43728</v>
      </c>
      <c r="D285" s="359" t="s">
        <v>293</v>
      </c>
      <c r="E285" s="357" t="s">
        <v>1409</v>
      </c>
      <c r="F285" s="360" t="s">
        <v>1113</v>
      </c>
      <c r="G285" s="361">
        <v>5705</v>
      </c>
      <c r="H285" s="361"/>
      <c r="I285" s="362">
        <v>2679.04</v>
      </c>
      <c r="J285" s="362"/>
    </row>
    <row r="286" spans="1:11" s="194" customFormat="1" x14ac:dyDescent="0.2">
      <c r="A286" s="357" t="s">
        <v>1232</v>
      </c>
      <c r="B286" s="357" t="s">
        <v>318</v>
      </c>
      <c r="C286" s="358">
        <v>43738</v>
      </c>
      <c r="D286" s="359" t="s">
        <v>293</v>
      </c>
      <c r="E286" s="357" t="s">
        <v>1409</v>
      </c>
      <c r="F286" s="360" t="s">
        <v>1113</v>
      </c>
      <c r="G286" s="361">
        <v>5726</v>
      </c>
      <c r="H286" s="361"/>
      <c r="I286" s="362"/>
      <c r="J286" s="362">
        <v>952.29</v>
      </c>
    </row>
    <row r="287" spans="1:11" s="194" customFormat="1" x14ac:dyDescent="0.2">
      <c r="A287" s="357" t="s">
        <v>1232</v>
      </c>
      <c r="B287" s="357" t="s">
        <v>318</v>
      </c>
      <c r="C287" s="358">
        <v>43739</v>
      </c>
      <c r="D287" s="359" t="s">
        <v>293</v>
      </c>
      <c r="E287" s="357" t="s">
        <v>1409</v>
      </c>
      <c r="F287" s="360" t="s">
        <v>1113</v>
      </c>
      <c r="G287" s="361">
        <v>5737</v>
      </c>
      <c r="H287" s="361"/>
      <c r="I287" s="362">
        <v>952.29</v>
      </c>
      <c r="J287" s="362"/>
    </row>
    <row r="288" spans="1:11" s="194" customFormat="1" x14ac:dyDescent="0.2">
      <c r="A288" s="357" t="s">
        <v>1232</v>
      </c>
      <c r="B288" s="357" t="s">
        <v>318</v>
      </c>
      <c r="C288" s="358">
        <v>43768</v>
      </c>
      <c r="D288" s="359" t="s">
        <v>293</v>
      </c>
      <c r="E288" s="357" t="s">
        <v>1409</v>
      </c>
      <c r="F288" s="360" t="s">
        <v>1113</v>
      </c>
      <c r="G288" s="361">
        <v>5769</v>
      </c>
      <c r="H288" s="361"/>
      <c r="I288" s="362"/>
      <c r="J288" s="362">
        <v>952.29</v>
      </c>
    </row>
    <row r="289" spans="1:10" s="194" customFormat="1" x14ac:dyDescent="0.2">
      <c r="A289" s="357" t="s">
        <v>1232</v>
      </c>
      <c r="B289" s="357" t="s">
        <v>1158</v>
      </c>
      <c r="C289" s="358">
        <v>43769</v>
      </c>
      <c r="D289" s="359" t="s">
        <v>1115</v>
      </c>
      <c r="E289" s="357" t="s">
        <v>1420</v>
      </c>
      <c r="F289" s="360" t="s">
        <v>1113</v>
      </c>
      <c r="G289" s="361">
        <v>5806</v>
      </c>
      <c r="H289" s="361"/>
      <c r="I289" s="362">
        <v>23.58</v>
      </c>
      <c r="J289" s="362"/>
    </row>
    <row r="290" spans="1:10" s="194" customFormat="1" x14ac:dyDescent="0.2">
      <c r="A290" s="357" t="s">
        <v>1232</v>
      </c>
      <c r="B290" s="357" t="s">
        <v>1158</v>
      </c>
      <c r="C290" s="358">
        <v>43769</v>
      </c>
      <c r="D290" s="359" t="s">
        <v>1115</v>
      </c>
      <c r="E290" s="357" t="s">
        <v>1421</v>
      </c>
      <c r="F290" s="360" t="s">
        <v>1113</v>
      </c>
      <c r="G290" s="361">
        <v>5806</v>
      </c>
      <c r="H290" s="361"/>
      <c r="I290" s="362">
        <v>1409.67</v>
      </c>
      <c r="J290" s="362"/>
    </row>
    <row r="291" spans="1:10" s="194" customFormat="1" x14ac:dyDescent="0.2">
      <c r="A291" s="357" t="s">
        <v>1110</v>
      </c>
      <c r="B291" s="357" t="s">
        <v>318</v>
      </c>
      <c r="C291" s="358">
        <v>43738</v>
      </c>
      <c r="D291" s="359" t="s">
        <v>1115</v>
      </c>
      <c r="E291" s="357" t="s">
        <v>1366</v>
      </c>
      <c r="F291" s="360" t="s">
        <v>1113</v>
      </c>
      <c r="G291" s="361">
        <v>5729</v>
      </c>
      <c r="H291" s="361"/>
      <c r="I291" s="362">
        <v>4213.45</v>
      </c>
      <c r="J291" s="362"/>
    </row>
    <row r="292" spans="1:10" s="194" customFormat="1" x14ac:dyDescent="0.2">
      <c r="A292" s="357" t="s">
        <v>1110</v>
      </c>
      <c r="B292" s="357" t="s">
        <v>318</v>
      </c>
      <c r="C292" s="358">
        <v>43739</v>
      </c>
      <c r="D292" s="359" t="s">
        <v>1115</v>
      </c>
      <c r="E292" s="357" t="s">
        <v>1366</v>
      </c>
      <c r="F292" s="360" t="s">
        <v>1113</v>
      </c>
      <c r="G292" s="361">
        <v>5743</v>
      </c>
      <c r="H292" s="361"/>
      <c r="I292" s="362"/>
      <c r="J292" s="362">
        <v>4213.45</v>
      </c>
    </row>
    <row r="293" spans="1:10" s="194" customFormat="1" x14ac:dyDescent="0.2">
      <c r="A293" s="357" t="s">
        <v>1110</v>
      </c>
      <c r="B293" s="357" t="s">
        <v>1158</v>
      </c>
      <c r="C293" s="358">
        <v>43769</v>
      </c>
      <c r="D293" s="359" t="s">
        <v>1115</v>
      </c>
      <c r="E293" s="357" t="s">
        <v>1422</v>
      </c>
      <c r="F293" s="360" t="s">
        <v>1113</v>
      </c>
      <c r="G293" s="361">
        <v>5806</v>
      </c>
      <c r="H293" s="361"/>
      <c r="I293" s="362"/>
      <c r="J293" s="362">
        <v>246.65</v>
      </c>
    </row>
    <row r="294" spans="1:10" x14ac:dyDescent="0.2">
      <c r="A294" s="306"/>
      <c r="B294" s="306"/>
      <c r="C294" s="306"/>
      <c r="D294" s="306"/>
      <c r="E294" s="306"/>
      <c r="F294" s="306"/>
      <c r="G294" s="306"/>
      <c r="H294" s="306"/>
      <c r="I294" s="323">
        <v>15317.760000000002</v>
      </c>
      <c r="J294" s="323">
        <v>9043.7199999999993</v>
      </c>
    </row>
    <row r="295" spans="1:10" x14ac:dyDescent="0.2">
      <c r="A295" s="306"/>
      <c r="B295" s="306"/>
      <c r="C295" s="306"/>
      <c r="D295" s="306"/>
      <c r="E295" s="306"/>
      <c r="F295" s="306"/>
      <c r="G295" s="306"/>
      <c r="H295" s="306"/>
      <c r="I295" s="306"/>
      <c r="J295" s="306"/>
    </row>
    <row r="296" spans="1:10" x14ac:dyDescent="0.2">
      <c r="A296" s="316" t="s">
        <v>1162</v>
      </c>
      <c r="B296" s="311"/>
      <c r="C296" s="311"/>
      <c r="D296" s="311"/>
      <c r="E296" s="311"/>
      <c r="F296" s="311"/>
      <c r="G296" s="311"/>
      <c r="H296" s="311"/>
      <c r="I296" s="311"/>
      <c r="J296" s="311"/>
    </row>
    <row r="297" spans="1:10" x14ac:dyDescent="0.2">
      <c r="A297" s="317" t="s">
        <v>493</v>
      </c>
      <c r="B297" s="317" t="s">
        <v>318</v>
      </c>
      <c r="C297" s="318">
        <v>43769</v>
      </c>
      <c r="D297" s="319" t="s">
        <v>1174</v>
      </c>
      <c r="E297" s="317" t="s">
        <v>1423</v>
      </c>
      <c r="F297" s="320" t="s">
        <v>1113</v>
      </c>
      <c r="G297" s="321">
        <v>5806</v>
      </c>
      <c r="H297" s="321"/>
      <c r="I297" s="322">
        <v>1.69</v>
      </c>
      <c r="J297" s="322"/>
    </row>
    <row r="298" spans="1:10" s="194" customFormat="1" x14ac:dyDescent="0.2">
      <c r="A298" s="357" t="s">
        <v>1110</v>
      </c>
      <c r="B298" s="357" t="s">
        <v>318</v>
      </c>
      <c r="C298" s="358">
        <v>43676</v>
      </c>
      <c r="D298" s="359" t="s">
        <v>1424</v>
      </c>
      <c r="E298" s="357" t="s">
        <v>1425</v>
      </c>
      <c r="F298" s="360" t="s">
        <v>1119</v>
      </c>
      <c r="G298" s="361">
        <v>5619</v>
      </c>
      <c r="H298" s="361">
        <v>45925</v>
      </c>
      <c r="I298" s="362">
        <v>46</v>
      </c>
      <c r="J298" s="362"/>
    </row>
    <row r="299" spans="1:10" s="194" customFormat="1" x14ac:dyDescent="0.2">
      <c r="A299" s="357" t="s">
        <v>1110</v>
      </c>
      <c r="B299" s="357" t="s">
        <v>318</v>
      </c>
      <c r="C299" s="358">
        <v>43676</v>
      </c>
      <c r="D299" s="359" t="s">
        <v>1424</v>
      </c>
      <c r="E299" s="357" t="s">
        <v>1425</v>
      </c>
      <c r="F299" s="360" t="s">
        <v>1119</v>
      </c>
      <c r="G299" s="361">
        <v>5619</v>
      </c>
      <c r="H299" s="361">
        <v>45925</v>
      </c>
      <c r="I299" s="362">
        <v>65.34</v>
      </c>
      <c r="J299" s="362"/>
    </row>
    <row r="300" spans="1:10" x14ac:dyDescent="0.2">
      <c r="A300" s="317" t="s">
        <v>1110</v>
      </c>
      <c r="B300" s="317" t="s">
        <v>318</v>
      </c>
      <c r="C300" s="318">
        <v>43708</v>
      </c>
      <c r="D300" s="319" t="s">
        <v>1326</v>
      </c>
      <c r="E300" s="317" t="s">
        <v>1426</v>
      </c>
      <c r="F300" s="320" t="s">
        <v>1113</v>
      </c>
      <c r="G300" s="321">
        <v>5685</v>
      </c>
      <c r="H300" s="321"/>
      <c r="I300" s="322">
        <v>1.69</v>
      </c>
      <c r="J300" s="322"/>
    </row>
    <row r="301" spans="1:10" s="194" customFormat="1" x14ac:dyDescent="0.2">
      <c r="A301" s="357" t="s">
        <v>1110</v>
      </c>
      <c r="B301" s="357" t="s">
        <v>318</v>
      </c>
      <c r="C301" s="358">
        <v>43713</v>
      </c>
      <c r="D301" s="359" t="s">
        <v>1427</v>
      </c>
      <c r="E301" s="357" t="s">
        <v>1428</v>
      </c>
      <c r="F301" s="360" t="s">
        <v>1119</v>
      </c>
      <c r="G301" s="361">
        <v>5700</v>
      </c>
      <c r="H301" s="361">
        <v>46349</v>
      </c>
      <c r="I301" s="362">
        <v>34.92</v>
      </c>
      <c r="J301" s="362"/>
    </row>
    <row r="302" spans="1:10" s="194" customFormat="1" x14ac:dyDescent="0.2">
      <c r="A302" s="357" t="s">
        <v>1110</v>
      </c>
      <c r="B302" s="357" t="s">
        <v>318</v>
      </c>
      <c r="C302" s="358">
        <v>43713</v>
      </c>
      <c r="D302" s="359" t="s">
        <v>1427</v>
      </c>
      <c r="E302" s="357" t="s">
        <v>1428</v>
      </c>
      <c r="F302" s="360" t="s">
        <v>1119</v>
      </c>
      <c r="G302" s="361">
        <v>5700</v>
      </c>
      <c r="H302" s="361">
        <v>46349</v>
      </c>
      <c r="I302" s="362">
        <v>46.72</v>
      </c>
      <c r="J302" s="362"/>
    </row>
    <row r="303" spans="1:10" s="194" customFormat="1" x14ac:dyDescent="0.2">
      <c r="A303" s="357" t="s">
        <v>1110</v>
      </c>
      <c r="B303" s="357" t="s">
        <v>318</v>
      </c>
      <c r="C303" s="358">
        <v>43738</v>
      </c>
      <c r="D303" s="359" t="s">
        <v>1429</v>
      </c>
      <c r="E303" s="357" t="s">
        <v>1430</v>
      </c>
      <c r="F303" s="360" t="s">
        <v>1119</v>
      </c>
      <c r="G303" s="361">
        <v>5754</v>
      </c>
      <c r="H303" s="361">
        <v>46675</v>
      </c>
      <c r="I303" s="362">
        <v>56.56</v>
      </c>
      <c r="J303" s="362"/>
    </row>
    <row r="304" spans="1:10" s="194" customFormat="1" x14ac:dyDescent="0.2">
      <c r="A304" s="357" t="s">
        <v>1110</v>
      </c>
      <c r="B304" s="357" t="s">
        <v>318</v>
      </c>
      <c r="C304" s="358">
        <v>43738</v>
      </c>
      <c r="D304" s="359" t="s">
        <v>1429</v>
      </c>
      <c r="E304" s="357" t="s">
        <v>1430</v>
      </c>
      <c r="F304" s="360" t="s">
        <v>1119</v>
      </c>
      <c r="G304" s="361">
        <v>5754</v>
      </c>
      <c r="H304" s="361">
        <v>46675</v>
      </c>
      <c r="I304" s="362">
        <v>28</v>
      </c>
      <c r="J304" s="362"/>
    </row>
    <row r="305" spans="1:10" s="194" customFormat="1" x14ac:dyDescent="0.2">
      <c r="A305" s="357" t="s">
        <v>1110</v>
      </c>
      <c r="B305" s="357" t="s">
        <v>318</v>
      </c>
      <c r="C305" s="358">
        <v>43760</v>
      </c>
      <c r="D305" s="359" t="s">
        <v>1431</v>
      </c>
      <c r="E305" s="357" t="s">
        <v>1432</v>
      </c>
      <c r="F305" s="360" t="s">
        <v>1119</v>
      </c>
      <c r="G305" s="361">
        <v>5799</v>
      </c>
      <c r="H305" s="361">
        <v>47145</v>
      </c>
      <c r="I305" s="362">
        <v>56</v>
      </c>
      <c r="J305" s="362"/>
    </row>
    <row r="306" spans="1:10" s="194" customFormat="1" x14ac:dyDescent="0.2">
      <c r="A306" s="357" t="s">
        <v>1110</v>
      </c>
      <c r="B306" s="357" t="s">
        <v>318</v>
      </c>
      <c r="C306" s="358">
        <v>43760</v>
      </c>
      <c r="D306" s="359" t="s">
        <v>1431</v>
      </c>
      <c r="E306" s="357" t="s">
        <v>1432</v>
      </c>
      <c r="F306" s="360" t="s">
        <v>1119</v>
      </c>
      <c r="G306" s="361">
        <v>5799</v>
      </c>
      <c r="H306" s="361">
        <v>47145</v>
      </c>
      <c r="I306" s="362">
        <v>46.55</v>
      </c>
      <c r="J306" s="362"/>
    </row>
    <row r="307" spans="1:10" x14ac:dyDescent="0.2">
      <c r="A307" s="317" t="s">
        <v>1110</v>
      </c>
      <c r="B307" s="317" t="s">
        <v>318</v>
      </c>
      <c r="C307" s="318">
        <v>43769</v>
      </c>
      <c r="D307" s="319" t="s">
        <v>1174</v>
      </c>
      <c r="E307" s="317" t="s">
        <v>1433</v>
      </c>
      <c r="F307" s="320" t="s">
        <v>1113</v>
      </c>
      <c r="G307" s="321">
        <v>5806</v>
      </c>
      <c r="H307" s="321"/>
      <c r="I307" s="322">
        <v>26.82</v>
      </c>
      <c r="J307" s="322"/>
    </row>
    <row r="308" spans="1:10" x14ac:dyDescent="0.2">
      <c r="A308" s="306"/>
      <c r="B308" s="306"/>
      <c r="C308" s="306"/>
      <c r="D308" s="306"/>
      <c r="E308" s="306"/>
      <c r="F308" s="306"/>
      <c r="G308" s="306"/>
      <c r="H308" s="306"/>
      <c r="I308" s="323">
        <v>410.28999999999996</v>
      </c>
      <c r="J308" s="323">
        <v>0</v>
      </c>
    </row>
    <row r="309" spans="1:10" x14ac:dyDescent="0.2">
      <c r="A309" s="306"/>
      <c r="B309" s="306"/>
      <c r="C309" s="306"/>
      <c r="D309" s="306"/>
      <c r="E309" s="306"/>
      <c r="F309" s="306"/>
      <c r="G309" s="306"/>
      <c r="H309" s="306"/>
      <c r="I309" s="306"/>
      <c r="J309" s="306"/>
    </row>
    <row r="310" spans="1:10" x14ac:dyDescent="0.2">
      <c r="I310" s="306"/>
      <c r="J310" s="306"/>
    </row>
    <row r="311" spans="1:10" x14ac:dyDescent="0.2">
      <c r="I311" s="323">
        <f>I10+I16+I20+I24+I35+I121+I208+I237+I261+I273+I294+I308+I50</f>
        <v>101687.04000000001</v>
      </c>
      <c r="J311" s="323">
        <f>J10+J16+J20+J24+J35+J121+J208+J237+J261+J273+J294+J308+J50</f>
        <v>46420.890000000007</v>
      </c>
    </row>
    <row r="313" spans="1:10" ht="13.5" thickBot="1" x14ac:dyDescent="0.25">
      <c r="H313" s="191" t="s">
        <v>1434</v>
      </c>
      <c r="I313" s="324">
        <f>I311-J311</f>
        <v>55266.15</v>
      </c>
    </row>
    <row r="314" spans="1:10" ht="13.5" thickTop="1" x14ac:dyDescent="0.2"/>
  </sheetData>
  <pageMargins left="0.16" right="0.16" top="0.74803149606299213" bottom="0.74803149606299213" header="0.31496062992125984" footer="0.31496062992125984"/>
  <pageSetup paperSize="9" scale="49" fitToHeight="4" orientation="landscape" r:id="rId1"/>
  <headerFooter>
    <oddFooter>&amp;L&amp;8&amp;Z&amp;F&amp;A&amp;R&amp;8&amp;D&amp;T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5E4C-F9DD-4895-A9CF-A11ABE17422D}">
  <sheetPr>
    <tabColor theme="7"/>
    <pageSetUpPr fitToPage="1"/>
  </sheetPr>
  <dimension ref="A1:N73"/>
  <sheetViews>
    <sheetView topLeftCell="A49" workbookViewId="0">
      <selection activeCell="E83" sqref="E83"/>
    </sheetView>
  </sheetViews>
  <sheetFormatPr defaultRowHeight="12.75" x14ac:dyDescent="0.2"/>
  <cols>
    <col min="1" max="1" width="13.85546875" bestFit="1" customWidth="1"/>
    <col min="2" max="2" width="56.85546875" bestFit="1" customWidth="1"/>
    <col min="3" max="3" width="11.7109375" bestFit="1" customWidth="1"/>
    <col min="4" max="4" width="11" bestFit="1" customWidth="1"/>
    <col min="7" max="7" width="7.140625" bestFit="1" customWidth="1"/>
    <col min="8" max="8" width="15.42578125" bestFit="1" customWidth="1"/>
    <col min="9" max="9" width="14.7109375" bestFit="1" customWidth="1"/>
    <col min="10" max="10" width="15.85546875" bestFit="1" customWidth="1"/>
    <col min="11" max="11" width="35.7109375" bestFit="1" customWidth="1"/>
    <col min="12" max="12" width="10.5703125" bestFit="1" customWidth="1"/>
    <col min="14" max="14" width="10.28515625" bestFit="1" customWidth="1"/>
  </cols>
  <sheetData>
    <row r="1" spans="1:14" ht="15" x14ac:dyDescent="0.25">
      <c r="A1" s="196" t="s">
        <v>1021</v>
      </c>
      <c r="B1" t="s">
        <v>1022</v>
      </c>
      <c r="C1" t="s">
        <v>1023</v>
      </c>
      <c r="D1" s="196" t="s">
        <v>1024</v>
      </c>
      <c r="E1" s="196" t="s">
        <v>299</v>
      </c>
      <c r="F1" s="197" t="s">
        <v>1025</v>
      </c>
      <c r="G1" s="196" t="s">
        <v>1026</v>
      </c>
      <c r="H1" s="196" t="s">
        <v>1027</v>
      </c>
      <c r="I1" s="198" t="s">
        <v>1028</v>
      </c>
      <c r="J1" s="196" t="s">
        <v>1029</v>
      </c>
      <c r="K1" s="196" t="s">
        <v>1030</v>
      </c>
      <c r="L1" s="202" t="s">
        <v>1031</v>
      </c>
      <c r="M1" s="202" t="s">
        <v>1032</v>
      </c>
      <c r="N1" s="203" t="s">
        <v>1033</v>
      </c>
    </row>
    <row r="2" spans="1:14" x14ac:dyDescent="0.2">
      <c r="A2">
        <v>3605</v>
      </c>
      <c r="B2" t="s">
        <v>1435</v>
      </c>
      <c r="C2" t="s">
        <v>1038</v>
      </c>
      <c r="D2" t="s">
        <v>1436</v>
      </c>
      <c r="E2">
        <v>440</v>
      </c>
      <c r="F2" t="s">
        <v>1040</v>
      </c>
      <c r="G2" t="s">
        <v>1437</v>
      </c>
      <c r="H2" t="s">
        <v>1438</v>
      </c>
      <c r="I2" s="199">
        <v>43590</v>
      </c>
      <c r="J2" t="s">
        <v>1043</v>
      </c>
      <c r="K2" t="s">
        <v>1439</v>
      </c>
      <c r="L2" s="369">
        <v>177.5</v>
      </c>
      <c r="M2" s="369">
        <v>0</v>
      </c>
      <c r="N2" s="369">
        <v>177.5</v>
      </c>
    </row>
    <row r="3" spans="1:14" x14ac:dyDescent="0.2">
      <c r="A3">
        <v>3605</v>
      </c>
      <c r="B3" t="s">
        <v>1435</v>
      </c>
      <c r="C3" t="s">
        <v>1038</v>
      </c>
      <c r="D3" t="s">
        <v>1436</v>
      </c>
      <c r="E3">
        <v>100</v>
      </c>
      <c r="F3" t="s">
        <v>1040</v>
      </c>
      <c r="G3" t="s">
        <v>1440</v>
      </c>
      <c r="H3" t="s">
        <v>1065</v>
      </c>
      <c r="I3" s="199">
        <v>43608</v>
      </c>
      <c r="J3" t="s">
        <v>1043</v>
      </c>
      <c r="K3" t="s">
        <v>1441</v>
      </c>
      <c r="L3" s="369">
        <v>133.69999999999999</v>
      </c>
      <c r="M3" s="369">
        <v>0</v>
      </c>
      <c r="N3" s="369">
        <v>133.69999999999999</v>
      </c>
    </row>
    <row r="4" spans="1:14" x14ac:dyDescent="0.2">
      <c r="A4">
        <v>3605</v>
      </c>
      <c r="B4" t="s">
        <v>1435</v>
      </c>
      <c r="C4" t="s">
        <v>1038</v>
      </c>
      <c r="D4" t="s">
        <v>1442</v>
      </c>
      <c r="E4">
        <v>440</v>
      </c>
      <c r="F4" t="s">
        <v>1040</v>
      </c>
      <c r="G4" t="s">
        <v>1440</v>
      </c>
      <c r="H4" t="s">
        <v>1065</v>
      </c>
      <c r="I4" s="199">
        <v>43608</v>
      </c>
      <c r="J4" t="s">
        <v>1043</v>
      </c>
      <c r="K4" t="s">
        <v>1441</v>
      </c>
      <c r="L4" s="369">
        <v>50</v>
      </c>
      <c r="M4" s="369">
        <v>0</v>
      </c>
      <c r="N4" s="369">
        <v>50</v>
      </c>
    </row>
    <row r="5" spans="1:14" x14ac:dyDescent="0.2">
      <c r="A5">
        <v>3605</v>
      </c>
      <c r="B5" t="s">
        <v>1435</v>
      </c>
      <c r="C5" t="s">
        <v>1038</v>
      </c>
      <c r="D5" t="s">
        <v>1442</v>
      </c>
      <c r="E5">
        <v>440</v>
      </c>
      <c r="F5" t="s">
        <v>1040</v>
      </c>
      <c r="G5" t="s">
        <v>1440</v>
      </c>
      <c r="H5" t="s">
        <v>1065</v>
      </c>
      <c r="I5" s="199">
        <v>43608</v>
      </c>
      <c r="J5" t="s">
        <v>1043</v>
      </c>
      <c r="K5" t="s">
        <v>1441</v>
      </c>
      <c r="L5" s="369">
        <v>50</v>
      </c>
      <c r="M5" s="369">
        <v>0</v>
      </c>
      <c r="N5" s="369">
        <v>50</v>
      </c>
    </row>
    <row r="6" spans="1:14" x14ac:dyDescent="0.2">
      <c r="A6">
        <v>3605</v>
      </c>
      <c r="B6" t="s">
        <v>1435</v>
      </c>
      <c r="C6" t="s">
        <v>1038</v>
      </c>
      <c r="D6" t="s">
        <v>1436</v>
      </c>
      <c r="E6">
        <v>440</v>
      </c>
      <c r="F6" t="s">
        <v>1040</v>
      </c>
      <c r="G6" t="s">
        <v>1440</v>
      </c>
      <c r="H6" t="s">
        <v>1065</v>
      </c>
      <c r="I6" s="199">
        <v>43608</v>
      </c>
      <c r="J6" t="s">
        <v>1043</v>
      </c>
      <c r="K6" t="s">
        <v>1441</v>
      </c>
      <c r="L6" s="369">
        <v>133.69999999999999</v>
      </c>
      <c r="M6" s="369">
        <v>0</v>
      </c>
      <c r="N6" s="369">
        <v>133.69999999999999</v>
      </c>
    </row>
    <row r="7" spans="1:14" x14ac:dyDescent="0.2">
      <c r="A7">
        <v>3605</v>
      </c>
      <c r="B7" t="s">
        <v>1037</v>
      </c>
      <c r="C7" t="s">
        <v>1038</v>
      </c>
      <c r="D7" t="s">
        <v>1053</v>
      </c>
      <c r="E7">
        <v>100</v>
      </c>
      <c r="F7" t="s">
        <v>1040</v>
      </c>
      <c r="G7" t="s">
        <v>1041</v>
      </c>
      <c r="H7" t="s">
        <v>1443</v>
      </c>
      <c r="I7" s="199">
        <v>43620</v>
      </c>
      <c r="J7" t="s">
        <v>1043</v>
      </c>
      <c r="K7" t="s">
        <v>1444</v>
      </c>
      <c r="L7" s="188">
        <v>0.5</v>
      </c>
      <c r="M7" s="188">
        <v>0.08</v>
      </c>
      <c r="N7" s="188">
        <v>0.57999999999999996</v>
      </c>
    </row>
    <row r="8" spans="1:14" x14ac:dyDescent="0.2">
      <c r="A8">
        <v>3605</v>
      </c>
      <c r="B8" t="s">
        <v>1037</v>
      </c>
      <c r="C8" t="s">
        <v>1038</v>
      </c>
      <c r="D8" t="s">
        <v>1053</v>
      </c>
      <c r="E8">
        <v>100</v>
      </c>
      <c r="F8" t="s">
        <v>1040</v>
      </c>
      <c r="G8" t="s">
        <v>1041</v>
      </c>
      <c r="H8" t="s">
        <v>1443</v>
      </c>
      <c r="I8" s="199">
        <v>43620</v>
      </c>
      <c r="J8" t="s">
        <v>1043</v>
      </c>
      <c r="K8" t="s">
        <v>1444</v>
      </c>
      <c r="L8" s="188">
        <v>0.5</v>
      </c>
      <c r="M8" s="188">
        <v>0.08</v>
      </c>
      <c r="N8" s="188">
        <v>0.57999999999999996</v>
      </c>
    </row>
    <row r="9" spans="1:14" x14ac:dyDescent="0.2">
      <c r="A9">
        <v>3605</v>
      </c>
      <c r="B9" t="s">
        <v>1037</v>
      </c>
      <c r="C9" t="s">
        <v>1038</v>
      </c>
      <c r="D9" t="s">
        <v>1046</v>
      </c>
      <c r="E9">
        <v>100</v>
      </c>
      <c r="F9" t="s">
        <v>1040</v>
      </c>
      <c r="G9" t="s">
        <v>1041</v>
      </c>
      <c r="H9" t="s">
        <v>1443</v>
      </c>
      <c r="I9" s="199">
        <v>43620</v>
      </c>
      <c r="J9" t="s">
        <v>1043</v>
      </c>
      <c r="K9" t="s">
        <v>1444</v>
      </c>
      <c r="L9" s="188">
        <v>10</v>
      </c>
      <c r="M9" s="188">
        <v>1.5</v>
      </c>
      <c r="N9" s="188">
        <v>11.5</v>
      </c>
    </row>
    <row r="10" spans="1:14" x14ac:dyDescent="0.2">
      <c r="A10">
        <v>3605</v>
      </c>
      <c r="B10" t="s">
        <v>1037</v>
      </c>
      <c r="C10" t="s">
        <v>1038</v>
      </c>
      <c r="D10" t="s">
        <v>1039</v>
      </c>
      <c r="E10">
        <v>100</v>
      </c>
      <c r="F10" t="s">
        <v>1040</v>
      </c>
      <c r="G10" t="s">
        <v>1041</v>
      </c>
      <c r="H10" t="s">
        <v>1443</v>
      </c>
      <c r="I10" s="199">
        <v>43620</v>
      </c>
      <c r="J10" t="s">
        <v>1043</v>
      </c>
      <c r="K10" t="s">
        <v>1444</v>
      </c>
      <c r="L10" s="188">
        <v>8</v>
      </c>
      <c r="M10" s="188">
        <v>1.2</v>
      </c>
      <c r="N10" s="188">
        <v>9.1999999999999993</v>
      </c>
    </row>
    <row r="11" spans="1:14" x14ac:dyDescent="0.2">
      <c r="A11">
        <v>3605</v>
      </c>
      <c r="B11" t="s">
        <v>1037</v>
      </c>
      <c r="C11" t="s">
        <v>1038</v>
      </c>
      <c r="D11" t="s">
        <v>1046</v>
      </c>
      <c r="E11">
        <v>100</v>
      </c>
      <c r="F11" t="s">
        <v>1040</v>
      </c>
      <c r="G11" t="s">
        <v>1041</v>
      </c>
      <c r="H11" t="s">
        <v>1443</v>
      </c>
      <c r="I11" s="199">
        <v>43620</v>
      </c>
      <c r="J11" t="s">
        <v>1043</v>
      </c>
      <c r="K11" t="s">
        <v>1444</v>
      </c>
      <c r="L11" s="188">
        <v>10</v>
      </c>
      <c r="M11" s="188">
        <v>1.5</v>
      </c>
      <c r="N11" s="188">
        <v>11.5</v>
      </c>
    </row>
    <row r="12" spans="1:14" x14ac:dyDescent="0.2">
      <c r="A12">
        <v>3605</v>
      </c>
      <c r="B12" t="s">
        <v>1037</v>
      </c>
      <c r="C12" t="s">
        <v>1038</v>
      </c>
      <c r="D12" t="s">
        <v>1056</v>
      </c>
      <c r="E12">
        <v>100</v>
      </c>
      <c r="F12" t="s">
        <v>1040</v>
      </c>
      <c r="G12" t="s">
        <v>1041</v>
      </c>
      <c r="H12" t="s">
        <v>1443</v>
      </c>
      <c r="I12" s="199">
        <v>43620</v>
      </c>
      <c r="J12" t="s">
        <v>1043</v>
      </c>
      <c r="K12" t="s">
        <v>1444</v>
      </c>
      <c r="L12" s="188">
        <v>7</v>
      </c>
      <c r="M12" s="188">
        <v>1.05</v>
      </c>
      <c r="N12" s="188">
        <v>8.0500000000000007</v>
      </c>
    </row>
    <row r="13" spans="1:14" x14ac:dyDescent="0.2">
      <c r="A13">
        <v>3605</v>
      </c>
      <c r="B13" t="s">
        <v>1037</v>
      </c>
      <c r="C13" t="s">
        <v>1038</v>
      </c>
      <c r="D13" t="s">
        <v>1445</v>
      </c>
      <c r="E13">
        <v>100</v>
      </c>
      <c r="F13" t="s">
        <v>1040</v>
      </c>
      <c r="G13" t="s">
        <v>1041</v>
      </c>
      <c r="H13" t="s">
        <v>1443</v>
      </c>
      <c r="I13" s="199">
        <v>43620</v>
      </c>
      <c r="J13" t="s">
        <v>1043</v>
      </c>
      <c r="K13" t="s">
        <v>1444</v>
      </c>
      <c r="L13" s="188">
        <v>7</v>
      </c>
      <c r="M13" s="188">
        <v>1.05</v>
      </c>
      <c r="N13" s="188">
        <v>8.0500000000000007</v>
      </c>
    </row>
    <row r="14" spans="1:14" s="296" customFormat="1" x14ac:dyDescent="0.2">
      <c r="A14" s="296">
        <v>3605</v>
      </c>
      <c r="B14" s="296" t="s">
        <v>1037</v>
      </c>
      <c r="C14" s="296" t="s">
        <v>1038</v>
      </c>
      <c r="D14" s="296" t="s">
        <v>1039</v>
      </c>
      <c r="E14" s="296">
        <v>100</v>
      </c>
      <c r="F14" s="296" t="s">
        <v>1040</v>
      </c>
      <c r="G14" s="296" t="s">
        <v>1446</v>
      </c>
      <c r="H14" s="296" t="s">
        <v>1443</v>
      </c>
      <c r="I14" s="297">
        <v>43650</v>
      </c>
      <c r="J14" s="296" t="s">
        <v>1043</v>
      </c>
      <c r="K14" s="296" t="s">
        <v>1447</v>
      </c>
      <c r="L14" s="298">
        <v>8</v>
      </c>
      <c r="M14" s="298">
        <v>1.2</v>
      </c>
      <c r="N14" s="298">
        <v>9.1999999999999993</v>
      </c>
    </row>
    <row r="15" spans="1:14" s="296" customFormat="1" x14ac:dyDescent="0.2">
      <c r="A15" s="296">
        <v>3605</v>
      </c>
      <c r="B15" s="296" t="s">
        <v>1037</v>
      </c>
      <c r="C15" s="296" t="s">
        <v>1038</v>
      </c>
      <c r="D15" s="296" t="s">
        <v>1046</v>
      </c>
      <c r="E15" s="296">
        <v>100</v>
      </c>
      <c r="F15" s="296" t="s">
        <v>1040</v>
      </c>
      <c r="G15" s="296" t="s">
        <v>1041</v>
      </c>
      <c r="H15" s="296" t="s">
        <v>1443</v>
      </c>
      <c r="I15" s="297">
        <v>43683</v>
      </c>
      <c r="J15" s="296" t="s">
        <v>1043</v>
      </c>
      <c r="K15" s="296" t="s">
        <v>1448</v>
      </c>
      <c r="L15" s="298">
        <v>10</v>
      </c>
      <c r="M15" s="298">
        <v>1.5</v>
      </c>
      <c r="N15" s="298">
        <v>11.5</v>
      </c>
    </row>
    <row r="16" spans="1:14" s="296" customFormat="1" x14ac:dyDescent="0.2">
      <c r="A16" s="296">
        <v>3605</v>
      </c>
      <c r="B16" s="296" t="s">
        <v>1037</v>
      </c>
      <c r="C16" s="296" t="s">
        <v>1038</v>
      </c>
      <c r="D16" s="296" t="s">
        <v>1046</v>
      </c>
      <c r="E16" s="296">
        <v>100</v>
      </c>
      <c r="F16" s="296" t="s">
        <v>1040</v>
      </c>
      <c r="G16" s="296" t="s">
        <v>1041</v>
      </c>
      <c r="H16" s="296" t="s">
        <v>1443</v>
      </c>
      <c r="I16" s="297">
        <v>43683</v>
      </c>
      <c r="J16" s="296" t="s">
        <v>1043</v>
      </c>
      <c r="K16" s="296" t="s">
        <v>1448</v>
      </c>
      <c r="L16" s="298">
        <v>10</v>
      </c>
      <c r="M16" s="298">
        <v>1.5</v>
      </c>
      <c r="N16" s="298">
        <v>11.5</v>
      </c>
    </row>
    <row r="17" spans="1:14" s="296" customFormat="1" x14ac:dyDescent="0.2">
      <c r="A17" s="296">
        <v>3605</v>
      </c>
      <c r="B17" s="296" t="s">
        <v>1037</v>
      </c>
      <c r="C17" s="296" t="s">
        <v>1038</v>
      </c>
      <c r="D17" s="296" t="s">
        <v>1039</v>
      </c>
      <c r="E17" s="296">
        <v>100</v>
      </c>
      <c r="F17" s="296" t="s">
        <v>1040</v>
      </c>
      <c r="G17" s="296" t="s">
        <v>1041</v>
      </c>
      <c r="H17" s="296" t="s">
        <v>1443</v>
      </c>
      <c r="I17" s="297">
        <v>43683</v>
      </c>
      <c r="J17" s="296" t="s">
        <v>1043</v>
      </c>
      <c r="K17" s="296" t="s">
        <v>1448</v>
      </c>
      <c r="L17" s="298">
        <v>8</v>
      </c>
      <c r="M17" s="298">
        <v>1.2</v>
      </c>
      <c r="N17" s="298">
        <v>9.1999999999999993</v>
      </c>
    </row>
    <row r="18" spans="1:14" x14ac:dyDescent="0.2">
      <c r="I18" s="199"/>
      <c r="L18" s="290">
        <f>SUM(L2:L17)</f>
        <v>623.9</v>
      </c>
      <c r="M18" s="290">
        <f t="shared" ref="M18:N18" si="0">SUM(M2:M17)</f>
        <v>11.86</v>
      </c>
      <c r="N18" s="290">
        <f t="shared" si="0"/>
        <v>635.7600000000001</v>
      </c>
    </row>
    <row r="19" spans="1:14" x14ac:dyDescent="0.2">
      <c r="I19" s="199"/>
      <c r="L19" s="188"/>
      <c r="M19" s="188"/>
      <c r="N19" s="188"/>
    </row>
    <row r="20" spans="1:14" x14ac:dyDescent="0.2">
      <c r="I20" s="199"/>
      <c r="L20" s="188"/>
      <c r="M20" s="188"/>
      <c r="N20" s="188"/>
    </row>
    <row r="21" spans="1:14" x14ac:dyDescent="0.2">
      <c r="A21">
        <v>3610</v>
      </c>
      <c r="B21" t="s">
        <v>1037</v>
      </c>
      <c r="C21" t="s">
        <v>1045</v>
      </c>
      <c r="E21">
        <v>100</v>
      </c>
      <c r="F21" t="s">
        <v>1040</v>
      </c>
      <c r="G21" t="s">
        <v>1041</v>
      </c>
      <c r="H21" t="s">
        <v>1443</v>
      </c>
      <c r="I21" s="199">
        <v>43620</v>
      </c>
      <c r="J21" t="s">
        <v>1043</v>
      </c>
      <c r="K21" t="s">
        <v>1444</v>
      </c>
      <c r="L21" s="188">
        <v>463.12</v>
      </c>
      <c r="M21" s="188">
        <v>69.47</v>
      </c>
      <c r="N21" s="188">
        <v>532.59</v>
      </c>
    </row>
    <row r="22" spans="1:14" x14ac:dyDescent="0.2">
      <c r="A22">
        <v>3610</v>
      </c>
      <c r="B22" t="s">
        <v>1037</v>
      </c>
      <c r="C22" t="s">
        <v>1045</v>
      </c>
      <c r="E22">
        <v>100</v>
      </c>
      <c r="F22" t="s">
        <v>1040</v>
      </c>
      <c r="G22" t="s">
        <v>1041</v>
      </c>
      <c r="H22" t="s">
        <v>1443</v>
      </c>
      <c r="I22" s="199">
        <v>43620</v>
      </c>
      <c r="J22" t="s">
        <v>1043</v>
      </c>
      <c r="K22" t="s">
        <v>1444</v>
      </c>
      <c r="L22" s="188">
        <v>43.48</v>
      </c>
      <c r="M22" s="188">
        <v>6.52</v>
      </c>
      <c r="N22" s="188">
        <v>50</v>
      </c>
    </row>
    <row r="23" spans="1:14" s="296" customFormat="1" x14ac:dyDescent="0.2">
      <c r="A23" s="296">
        <v>3610</v>
      </c>
      <c r="B23" s="296" t="s">
        <v>1037</v>
      </c>
      <c r="C23" s="296" t="s">
        <v>1045</v>
      </c>
      <c r="E23" s="296">
        <v>100</v>
      </c>
      <c r="F23" s="296" t="s">
        <v>1040</v>
      </c>
      <c r="G23" s="296" t="s">
        <v>1446</v>
      </c>
      <c r="H23" s="296" t="s">
        <v>1443</v>
      </c>
      <c r="I23" s="297">
        <v>43650</v>
      </c>
      <c r="J23" s="296" t="s">
        <v>1043</v>
      </c>
      <c r="K23" s="296" t="s">
        <v>1447</v>
      </c>
      <c r="L23" s="298">
        <v>273.76</v>
      </c>
      <c r="M23" s="298">
        <v>41.06</v>
      </c>
      <c r="N23" s="298">
        <v>314.82</v>
      </c>
    </row>
    <row r="24" spans="1:14" s="296" customFormat="1" x14ac:dyDescent="0.2">
      <c r="A24" s="296">
        <v>3610</v>
      </c>
      <c r="B24" s="296" t="s">
        <v>1037</v>
      </c>
      <c r="C24" s="296" t="s">
        <v>1045</v>
      </c>
      <c r="E24" s="296">
        <v>100</v>
      </c>
      <c r="F24" s="296" t="s">
        <v>1040</v>
      </c>
      <c r="G24" s="296" t="s">
        <v>1041</v>
      </c>
      <c r="H24" s="296" t="s">
        <v>1443</v>
      </c>
      <c r="I24" s="297">
        <v>43683</v>
      </c>
      <c r="J24" s="296" t="s">
        <v>1043</v>
      </c>
      <c r="K24" s="296" t="s">
        <v>1448</v>
      </c>
      <c r="L24" s="298">
        <v>138.18</v>
      </c>
      <c r="M24" s="298">
        <v>20.73</v>
      </c>
      <c r="N24" s="298">
        <v>158.91</v>
      </c>
    </row>
    <row r="25" spans="1:14" s="296" customFormat="1" x14ac:dyDescent="0.2">
      <c r="A25" s="296">
        <v>3610</v>
      </c>
      <c r="B25" s="296" t="s">
        <v>1037</v>
      </c>
      <c r="C25" s="296" t="s">
        <v>1045</v>
      </c>
      <c r="E25" s="296">
        <v>100</v>
      </c>
      <c r="F25" s="296" t="s">
        <v>1040</v>
      </c>
      <c r="G25" s="296" t="s">
        <v>1041</v>
      </c>
      <c r="H25" s="296" t="s">
        <v>1443</v>
      </c>
      <c r="I25" s="297">
        <v>43683</v>
      </c>
      <c r="J25" s="296" t="s">
        <v>1043</v>
      </c>
      <c r="K25" s="296" t="s">
        <v>1448</v>
      </c>
      <c r="L25" s="298">
        <v>76.61</v>
      </c>
      <c r="M25" s="298">
        <v>11.49</v>
      </c>
      <c r="N25" s="298">
        <v>88.1</v>
      </c>
    </row>
    <row r="26" spans="1:14" s="296" customFormat="1" x14ac:dyDescent="0.2">
      <c r="A26" s="296">
        <v>3610</v>
      </c>
      <c r="B26" s="296" t="s">
        <v>1037</v>
      </c>
      <c r="C26" s="296" t="s">
        <v>1045</v>
      </c>
      <c r="E26" s="296">
        <v>100</v>
      </c>
      <c r="F26" s="296" t="s">
        <v>1040</v>
      </c>
      <c r="G26" s="296" t="s">
        <v>1041</v>
      </c>
      <c r="H26" s="296" t="s">
        <v>1443</v>
      </c>
      <c r="I26" s="297">
        <v>43683</v>
      </c>
      <c r="J26" s="296" t="s">
        <v>1043</v>
      </c>
      <c r="K26" s="296" t="s">
        <v>1448</v>
      </c>
      <c r="L26" s="298">
        <v>179.91</v>
      </c>
      <c r="M26" s="298">
        <v>26.99</v>
      </c>
      <c r="N26" s="298">
        <v>206.9</v>
      </c>
    </row>
    <row r="27" spans="1:14" x14ac:dyDescent="0.2">
      <c r="I27" s="199"/>
      <c r="L27" s="290">
        <f>SUM(L21:L26)</f>
        <v>1175.06</v>
      </c>
      <c r="M27" s="290">
        <f t="shared" ref="M27:N27" si="1">SUM(M21:M26)</f>
        <v>176.26000000000002</v>
      </c>
      <c r="N27" s="290">
        <f t="shared" si="1"/>
        <v>1351.3200000000002</v>
      </c>
    </row>
    <row r="28" spans="1:14" x14ac:dyDescent="0.2">
      <c r="I28" s="199"/>
      <c r="L28" s="188"/>
      <c r="M28" s="188"/>
      <c r="N28" s="188"/>
    </row>
    <row r="29" spans="1:14" x14ac:dyDescent="0.2">
      <c r="I29" s="199"/>
      <c r="L29" s="188"/>
      <c r="M29" s="188"/>
      <c r="N29" s="188"/>
    </row>
    <row r="30" spans="1:14" x14ac:dyDescent="0.2">
      <c r="A30">
        <v>3620</v>
      </c>
      <c r="B30" t="s">
        <v>1037</v>
      </c>
      <c r="C30" t="s">
        <v>1449</v>
      </c>
      <c r="E30">
        <v>100</v>
      </c>
      <c r="F30" t="s">
        <v>1040</v>
      </c>
      <c r="G30" t="s">
        <v>1041</v>
      </c>
      <c r="H30" t="s">
        <v>1443</v>
      </c>
      <c r="I30" s="199">
        <v>43620</v>
      </c>
      <c r="J30" t="s">
        <v>1043</v>
      </c>
      <c r="K30" t="s">
        <v>1444</v>
      </c>
      <c r="L30" s="188">
        <v>30.43</v>
      </c>
      <c r="M30" s="188">
        <v>4.5599999999999996</v>
      </c>
      <c r="N30" s="188">
        <v>34.99</v>
      </c>
    </row>
    <row r="31" spans="1:14" x14ac:dyDescent="0.2">
      <c r="A31">
        <v>3620</v>
      </c>
      <c r="B31" t="s">
        <v>1037</v>
      </c>
      <c r="C31" t="s">
        <v>1449</v>
      </c>
      <c r="E31">
        <v>100</v>
      </c>
      <c r="F31" t="s">
        <v>1040</v>
      </c>
      <c r="G31" t="s">
        <v>1041</v>
      </c>
      <c r="H31" t="s">
        <v>1443</v>
      </c>
      <c r="I31" s="199">
        <v>43620</v>
      </c>
      <c r="J31" t="s">
        <v>1043</v>
      </c>
      <c r="K31" t="s">
        <v>1444</v>
      </c>
      <c r="L31" s="188">
        <v>207.83</v>
      </c>
      <c r="M31" s="188">
        <v>31.17</v>
      </c>
      <c r="N31" s="188">
        <v>239</v>
      </c>
    </row>
    <row r="32" spans="1:14" x14ac:dyDescent="0.2">
      <c r="I32" s="199"/>
      <c r="L32" s="290">
        <f>SUM(L30:L31)</f>
        <v>238.26000000000002</v>
      </c>
      <c r="M32" s="290">
        <f t="shared" ref="M32:N32" si="2">SUM(M30:M31)</f>
        <v>35.730000000000004</v>
      </c>
      <c r="N32" s="290">
        <f t="shared" si="2"/>
        <v>273.99</v>
      </c>
    </row>
    <row r="33" spans="1:14" x14ac:dyDescent="0.2">
      <c r="I33" s="199"/>
      <c r="L33" s="188"/>
      <c r="M33" s="188"/>
      <c r="N33" s="188"/>
    </row>
    <row r="34" spans="1:14" x14ac:dyDescent="0.2">
      <c r="I34" s="199"/>
      <c r="L34" s="188"/>
      <c r="M34" s="188"/>
      <c r="N34" s="188"/>
    </row>
    <row r="35" spans="1:14" x14ac:dyDescent="0.2">
      <c r="A35">
        <v>3635</v>
      </c>
      <c r="B35" t="s">
        <v>1037</v>
      </c>
      <c r="C35" t="s">
        <v>1057</v>
      </c>
      <c r="E35">
        <v>100</v>
      </c>
      <c r="F35" t="s">
        <v>1040</v>
      </c>
      <c r="G35" t="s">
        <v>1041</v>
      </c>
      <c r="H35" t="s">
        <v>1443</v>
      </c>
      <c r="I35" s="199">
        <v>43620</v>
      </c>
      <c r="J35" t="s">
        <v>1043</v>
      </c>
      <c r="K35" t="s">
        <v>1444</v>
      </c>
      <c r="L35" s="188">
        <v>24</v>
      </c>
      <c r="M35" s="188">
        <v>3.6</v>
      </c>
      <c r="N35" s="188">
        <v>27.6</v>
      </c>
    </row>
    <row r="36" spans="1:14" x14ac:dyDescent="0.2">
      <c r="A36">
        <v>3635</v>
      </c>
      <c r="B36" t="s">
        <v>1037</v>
      </c>
      <c r="C36" t="s">
        <v>1057</v>
      </c>
      <c r="E36">
        <v>100</v>
      </c>
      <c r="F36" t="s">
        <v>1040</v>
      </c>
      <c r="G36" t="s">
        <v>1041</v>
      </c>
      <c r="H36" t="s">
        <v>1443</v>
      </c>
      <c r="I36" s="199">
        <v>43620</v>
      </c>
      <c r="J36" t="s">
        <v>1043</v>
      </c>
      <c r="K36" t="s">
        <v>1444</v>
      </c>
      <c r="L36" s="188">
        <v>1.47</v>
      </c>
      <c r="M36" s="188">
        <v>0.22</v>
      </c>
      <c r="N36" s="188">
        <v>1.69</v>
      </c>
    </row>
    <row r="37" spans="1:14" x14ac:dyDescent="0.2">
      <c r="A37">
        <v>3635</v>
      </c>
      <c r="B37" t="s">
        <v>1037</v>
      </c>
      <c r="C37" t="s">
        <v>1057</v>
      </c>
      <c r="E37">
        <v>100</v>
      </c>
      <c r="F37" t="s">
        <v>1040</v>
      </c>
      <c r="G37" t="s">
        <v>1041</v>
      </c>
      <c r="H37" t="s">
        <v>1443</v>
      </c>
      <c r="I37" s="199">
        <v>43620</v>
      </c>
      <c r="J37" t="s">
        <v>1043</v>
      </c>
      <c r="K37" t="s">
        <v>1444</v>
      </c>
      <c r="L37" s="188">
        <v>98</v>
      </c>
      <c r="M37" s="188">
        <v>14.7</v>
      </c>
      <c r="N37" s="188">
        <v>112.7</v>
      </c>
    </row>
    <row r="38" spans="1:14" x14ac:dyDescent="0.2">
      <c r="I38" s="199"/>
      <c r="L38" s="290">
        <f>SUM(L35:L37)</f>
        <v>123.47</v>
      </c>
      <c r="M38" s="290">
        <f t="shared" ref="M38:N38" si="3">SUM(M35:M37)</f>
        <v>18.52</v>
      </c>
      <c r="N38" s="290">
        <f t="shared" si="3"/>
        <v>141.99</v>
      </c>
    </row>
    <row r="39" spans="1:14" x14ac:dyDescent="0.2">
      <c r="I39" s="199"/>
      <c r="L39" s="188"/>
      <c r="M39" s="188"/>
      <c r="N39" s="188"/>
    </row>
    <row r="40" spans="1:14" x14ac:dyDescent="0.2">
      <c r="I40" s="199"/>
      <c r="L40" s="188"/>
      <c r="M40" s="188"/>
      <c r="N40" s="188"/>
    </row>
    <row r="41" spans="1:14" x14ac:dyDescent="0.2">
      <c r="A41">
        <v>3705</v>
      </c>
      <c r="B41" t="s">
        <v>1435</v>
      </c>
      <c r="C41" t="s">
        <v>1045</v>
      </c>
      <c r="E41">
        <v>100</v>
      </c>
      <c r="F41" t="s">
        <v>1040</v>
      </c>
      <c r="G41" t="s">
        <v>1450</v>
      </c>
      <c r="H41" t="s">
        <v>1065</v>
      </c>
      <c r="I41" s="199">
        <v>43544</v>
      </c>
      <c r="J41" t="s">
        <v>1043</v>
      </c>
      <c r="K41" t="s">
        <v>1441</v>
      </c>
      <c r="L41" s="188">
        <v>31.32</v>
      </c>
      <c r="M41" s="188">
        <v>0</v>
      </c>
      <c r="N41" s="188">
        <v>31.32</v>
      </c>
    </row>
    <row r="42" spans="1:14" x14ac:dyDescent="0.2">
      <c r="A42">
        <v>3705</v>
      </c>
      <c r="B42" t="s">
        <v>1435</v>
      </c>
      <c r="C42" t="s">
        <v>1045</v>
      </c>
      <c r="E42">
        <v>440</v>
      </c>
      <c r="F42" t="s">
        <v>1040</v>
      </c>
      <c r="G42" t="s">
        <v>1437</v>
      </c>
      <c r="H42" t="s">
        <v>1438</v>
      </c>
      <c r="I42" s="199">
        <v>43590</v>
      </c>
      <c r="J42" t="s">
        <v>1043</v>
      </c>
      <c r="K42" t="s">
        <v>1439</v>
      </c>
      <c r="L42" s="369">
        <v>5126.8</v>
      </c>
      <c r="M42" s="369">
        <v>0</v>
      </c>
      <c r="N42" s="369">
        <v>5126.8</v>
      </c>
    </row>
    <row r="43" spans="1:14" x14ac:dyDescent="0.2">
      <c r="A43">
        <v>3705</v>
      </c>
      <c r="B43" t="s">
        <v>1435</v>
      </c>
      <c r="C43" t="s">
        <v>1045</v>
      </c>
      <c r="E43">
        <v>440</v>
      </c>
      <c r="F43" t="s">
        <v>1040</v>
      </c>
      <c r="G43" t="s">
        <v>1437</v>
      </c>
      <c r="H43" t="s">
        <v>1438</v>
      </c>
      <c r="I43" s="199">
        <v>43590</v>
      </c>
      <c r="J43" t="s">
        <v>1043</v>
      </c>
      <c r="K43" t="s">
        <v>1439</v>
      </c>
      <c r="L43" s="369">
        <v>1422.9</v>
      </c>
      <c r="M43" s="369">
        <v>0</v>
      </c>
      <c r="N43" s="369">
        <v>1422.9</v>
      </c>
    </row>
    <row r="44" spans="1:14" x14ac:dyDescent="0.2">
      <c r="A44">
        <v>3705</v>
      </c>
      <c r="B44" t="s">
        <v>1435</v>
      </c>
      <c r="C44" t="s">
        <v>1045</v>
      </c>
      <c r="E44">
        <v>100</v>
      </c>
      <c r="F44" t="s">
        <v>1040</v>
      </c>
      <c r="G44" t="s">
        <v>1440</v>
      </c>
      <c r="H44" t="s">
        <v>1065</v>
      </c>
      <c r="I44" s="199">
        <v>43608</v>
      </c>
      <c r="J44" t="s">
        <v>1043</v>
      </c>
      <c r="K44" t="s">
        <v>1441</v>
      </c>
      <c r="L44" s="188">
        <v>7332.2</v>
      </c>
      <c r="M44" s="188">
        <v>0</v>
      </c>
      <c r="N44" s="188">
        <v>7332.2</v>
      </c>
    </row>
    <row r="45" spans="1:14" x14ac:dyDescent="0.2">
      <c r="I45" s="199"/>
      <c r="L45" s="291">
        <f>SUM(L41:L44)</f>
        <v>13913.220000000001</v>
      </c>
      <c r="M45" s="291">
        <f t="shared" ref="M45:N45" si="4">SUM(M41:M44)</f>
        <v>0</v>
      </c>
      <c r="N45" s="291">
        <f t="shared" si="4"/>
        <v>13913.220000000001</v>
      </c>
    </row>
    <row r="46" spans="1:14" x14ac:dyDescent="0.2">
      <c r="I46" s="199"/>
    </row>
    <row r="47" spans="1:14" x14ac:dyDescent="0.2">
      <c r="I47" s="199"/>
    </row>
    <row r="48" spans="1:14" x14ac:dyDescent="0.2">
      <c r="I48" s="199"/>
    </row>
    <row r="49" spans="1:14" ht="15.75" thickBot="1" x14ac:dyDescent="0.3">
      <c r="F49" s="200"/>
      <c r="I49" s="199"/>
      <c r="K49" s="196" t="s">
        <v>1451</v>
      </c>
      <c r="L49" s="204">
        <f>L18+L27+L32+L38+L45</f>
        <v>16073.910000000002</v>
      </c>
      <c r="M49" s="204">
        <f t="shared" ref="M49:N49" si="5">M18+M27+M32+M38+M45</f>
        <v>242.37000000000003</v>
      </c>
      <c r="N49" s="204">
        <f t="shared" si="5"/>
        <v>16316.280000000002</v>
      </c>
    </row>
    <row r="58" spans="1:14" x14ac:dyDescent="0.2">
      <c r="A58" s="208" t="s">
        <v>1058</v>
      </c>
      <c r="B58" s="208" t="s">
        <v>1030</v>
      </c>
      <c r="C58" s="208" t="s">
        <v>1021</v>
      </c>
      <c r="D58" t="s">
        <v>1059</v>
      </c>
    </row>
    <row r="59" spans="1:14" x14ac:dyDescent="0.2">
      <c r="A59" s="205">
        <v>43544</v>
      </c>
      <c r="B59" s="206" t="s">
        <v>1441</v>
      </c>
      <c r="C59" s="206">
        <v>3705</v>
      </c>
      <c r="D59" s="177">
        <v>31.32</v>
      </c>
      <c r="E59" s="280"/>
    </row>
    <row r="60" spans="1:14" x14ac:dyDescent="0.2">
      <c r="A60" s="205">
        <v>43590</v>
      </c>
      <c r="B60" s="206" t="s">
        <v>1439</v>
      </c>
      <c r="C60" s="206">
        <v>3605</v>
      </c>
      <c r="D60" s="177">
        <v>177.5</v>
      </c>
      <c r="E60" s="280"/>
    </row>
    <row r="61" spans="1:14" x14ac:dyDescent="0.2">
      <c r="C61" s="206">
        <v>3705</v>
      </c>
      <c r="D61" s="177">
        <v>6549.7000000000007</v>
      </c>
      <c r="E61" s="280"/>
    </row>
    <row r="62" spans="1:14" x14ac:dyDescent="0.2">
      <c r="A62" s="205">
        <v>43608</v>
      </c>
      <c r="B62" s="206" t="s">
        <v>1441</v>
      </c>
      <c r="C62" s="206">
        <v>3605</v>
      </c>
      <c r="D62" s="177">
        <v>367.4</v>
      </c>
      <c r="E62" s="280"/>
    </row>
    <row r="63" spans="1:14" x14ac:dyDescent="0.2">
      <c r="C63" s="206">
        <v>3705</v>
      </c>
      <c r="D63" s="177">
        <v>7332.2</v>
      </c>
      <c r="E63" s="280"/>
    </row>
    <row r="64" spans="1:14" x14ac:dyDescent="0.2">
      <c r="A64" s="205">
        <v>43620</v>
      </c>
      <c r="B64" s="206" t="s">
        <v>1444</v>
      </c>
      <c r="C64" s="206">
        <v>3605</v>
      </c>
      <c r="D64" s="177">
        <v>43</v>
      </c>
      <c r="E64" s="280"/>
    </row>
    <row r="65" spans="1:9" x14ac:dyDescent="0.2">
      <c r="C65" s="206">
        <v>3610</v>
      </c>
      <c r="D65" s="177">
        <v>506.6</v>
      </c>
      <c r="E65" s="280"/>
    </row>
    <row r="66" spans="1:9" x14ac:dyDescent="0.2">
      <c r="C66" s="206">
        <v>3620</v>
      </c>
      <c r="D66" s="177">
        <v>238.26000000000002</v>
      </c>
      <c r="E66" s="280"/>
    </row>
    <row r="67" spans="1:9" x14ac:dyDescent="0.2">
      <c r="C67" s="206">
        <v>3635</v>
      </c>
      <c r="D67" s="177">
        <v>123.47</v>
      </c>
      <c r="E67" s="280"/>
    </row>
    <row r="68" spans="1:9" x14ac:dyDescent="0.2">
      <c r="A68" s="305">
        <v>43650</v>
      </c>
      <c r="B68" s="303" t="s">
        <v>1447</v>
      </c>
      <c r="C68" s="303">
        <v>3605</v>
      </c>
      <c r="D68" s="304">
        <v>8</v>
      </c>
      <c r="E68" s="370" t="s">
        <v>473</v>
      </c>
      <c r="F68" s="296"/>
      <c r="G68" s="296"/>
      <c r="H68" s="296"/>
      <c r="I68" s="296"/>
    </row>
    <row r="69" spans="1:9" x14ac:dyDescent="0.2">
      <c r="A69" s="296"/>
      <c r="B69" s="296"/>
      <c r="C69" s="303">
        <v>3610</v>
      </c>
      <c r="D69" s="304">
        <v>273.76</v>
      </c>
      <c r="E69" s="370" t="s">
        <v>473</v>
      </c>
      <c r="F69" s="874"/>
      <c r="G69" s="874"/>
      <c r="H69" s="874"/>
      <c r="I69" s="874"/>
    </row>
    <row r="70" spans="1:9" x14ac:dyDescent="0.2">
      <c r="A70" s="305">
        <v>43683</v>
      </c>
      <c r="B70" s="303" t="s">
        <v>1448</v>
      </c>
      <c r="C70" s="303">
        <v>3605</v>
      </c>
      <c r="D70" s="304">
        <v>28</v>
      </c>
      <c r="E70" s="370" t="s">
        <v>473</v>
      </c>
      <c r="F70" s="874"/>
      <c r="G70" s="874"/>
      <c r="H70" s="874"/>
      <c r="I70" s="874"/>
    </row>
    <row r="71" spans="1:9" x14ac:dyDescent="0.2">
      <c r="A71" s="296"/>
      <c r="B71" s="296"/>
      <c r="C71" s="303">
        <v>3610</v>
      </c>
      <c r="D71" s="304">
        <v>394.70000000000005</v>
      </c>
      <c r="E71" s="370" t="s">
        <v>473</v>
      </c>
      <c r="F71" s="874"/>
      <c r="G71" s="874"/>
      <c r="H71" s="874"/>
      <c r="I71" s="874"/>
    </row>
    <row r="72" spans="1:9" x14ac:dyDescent="0.2">
      <c r="A72" s="205" t="s">
        <v>1452</v>
      </c>
      <c r="B72" s="206" t="s">
        <v>1452</v>
      </c>
      <c r="C72" s="206" t="s">
        <v>1452</v>
      </c>
      <c r="D72" s="177">
        <v>2160.69</v>
      </c>
    </row>
    <row r="73" spans="1:9" x14ac:dyDescent="0.2">
      <c r="A73" s="205" t="s">
        <v>1062</v>
      </c>
      <c r="D73" s="177">
        <v>18234.599999999999</v>
      </c>
    </row>
  </sheetData>
  <sortState xmlns:xlrd2="http://schemas.microsoft.com/office/spreadsheetml/2017/richdata2" ref="A2:N44">
    <sortCondition ref="A2:A44"/>
    <sortCondition ref="I2:I44"/>
  </sortState>
  <mergeCells count="1">
    <mergeCell ref="F69:I71"/>
  </mergeCells>
  <pageMargins left="0.22" right="0.17" top="0.47" bottom="0.53" header="0.31496062992125984" footer="0.31496062992125984"/>
  <pageSetup paperSize="9" scale="57" orientation="landscape" r:id="rId2"/>
  <headerFooter>
    <oddFooter>&amp;L&amp;8&amp;Z&amp;F&amp;A&amp;R&amp;8&amp;D&amp;T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F918-0D97-416F-A985-8C2179BBE286}">
  <sheetPr>
    <tabColor theme="7"/>
    <pageSetUpPr fitToPage="1"/>
  </sheetPr>
  <dimension ref="A1:N115"/>
  <sheetViews>
    <sheetView topLeftCell="A82" workbookViewId="0">
      <selection activeCell="E119" sqref="E119"/>
    </sheetView>
  </sheetViews>
  <sheetFormatPr defaultRowHeight="12.75" x14ac:dyDescent="0.2"/>
  <cols>
    <col min="1" max="1" width="13.85546875" bestFit="1" customWidth="1"/>
    <col min="2" max="2" width="61.5703125" customWidth="1"/>
    <col min="3" max="3" width="11.7109375" bestFit="1" customWidth="1"/>
    <col min="4" max="4" width="12.140625" bestFit="1" customWidth="1"/>
    <col min="8" max="8" width="12.7109375" customWidth="1"/>
    <col min="9" max="9" width="14.7109375" bestFit="1" customWidth="1"/>
    <col min="10" max="10" width="15.85546875" bestFit="1" customWidth="1"/>
    <col min="11" max="11" width="31" bestFit="1" customWidth="1"/>
    <col min="12" max="12" width="10.28515625" bestFit="1" customWidth="1"/>
    <col min="13" max="13" width="9.28515625" bestFit="1" customWidth="1"/>
    <col min="14" max="14" width="10.28515625" bestFit="1" customWidth="1"/>
  </cols>
  <sheetData>
    <row r="1" spans="1:14" ht="15" x14ac:dyDescent="0.25">
      <c r="A1" s="196" t="s">
        <v>1021</v>
      </c>
      <c r="B1" s="22" t="s">
        <v>1022</v>
      </c>
      <c r="C1" s="22" t="s">
        <v>1023</v>
      </c>
      <c r="D1" s="196" t="s">
        <v>1024</v>
      </c>
      <c r="E1" s="196" t="s">
        <v>299</v>
      </c>
      <c r="F1" s="197" t="s">
        <v>1025</v>
      </c>
      <c r="G1" s="196" t="s">
        <v>1026</v>
      </c>
      <c r="H1" s="196" t="s">
        <v>1027</v>
      </c>
      <c r="I1" s="198" t="s">
        <v>1028</v>
      </c>
      <c r="J1" s="196" t="s">
        <v>1029</v>
      </c>
      <c r="K1" s="196" t="s">
        <v>1030</v>
      </c>
      <c r="L1" s="202" t="s">
        <v>1031</v>
      </c>
      <c r="M1" s="202" t="s">
        <v>1032</v>
      </c>
      <c r="N1" s="203" t="s">
        <v>1033</v>
      </c>
    </row>
    <row r="2" spans="1:14" x14ac:dyDescent="0.2">
      <c r="A2">
        <v>3605</v>
      </c>
      <c r="B2" t="s">
        <v>1037</v>
      </c>
      <c r="C2" t="s">
        <v>1038</v>
      </c>
      <c r="D2" t="s">
        <v>1046</v>
      </c>
      <c r="E2">
        <v>100</v>
      </c>
      <c r="F2" t="s">
        <v>1040</v>
      </c>
      <c r="G2" t="s">
        <v>1446</v>
      </c>
      <c r="H2" t="s">
        <v>1443</v>
      </c>
      <c r="I2" s="199">
        <v>43650</v>
      </c>
      <c r="J2" t="s">
        <v>1043</v>
      </c>
      <c r="K2" t="s">
        <v>1447</v>
      </c>
      <c r="L2">
        <v>10</v>
      </c>
      <c r="M2">
        <v>1.5</v>
      </c>
      <c r="N2">
        <v>11.5</v>
      </c>
    </row>
    <row r="3" spans="1:14" x14ac:dyDescent="0.2">
      <c r="A3">
        <v>3605</v>
      </c>
      <c r="B3" t="s">
        <v>1037</v>
      </c>
      <c r="C3" t="s">
        <v>1038</v>
      </c>
      <c r="D3" t="s">
        <v>1056</v>
      </c>
      <c r="E3">
        <v>100</v>
      </c>
      <c r="F3" t="s">
        <v>1040</v>
      </c>
      <c r="G3" t="s">
        <v>1446</v>
      </c>
      <c r="H3" t="s">
        <v>1443</v>
      </c>
      <c r="I3" s="199">
        <v>43650</v>
      </c>
      <c r="J3" t="s">
        <v>1043</v>
      </c>
      <c r="K3" t="s">
        <v>1447</v>
      </c>
      <c r="L3">
        <v>7</v>
      </c>
      <c r="M3">
        <v>1.05</v>
      </c>
      <c r="N3">
        <v>8.0500000000000007</v>
      </c>
    </row>
    <row r="4" spans="1:14" x14ac:dyDescent="0.2">
      <c r="A4">
        <v>3605</v>
      </c>
      <c r="B4" t="s">
        <v>1037</v>
      </c>
      <c r="C4" t="s">
        <v>1038</v>
      </c>
      <c r="D4" t="s">
        <v>1053</v>
      </c>
      <c r="E4">
        <v>100</v>
      </c>
      <c r="F4" t="s">
        <v>1040</v>
      </c>
      <c r="G4" t="s">
        <v>1041</v>
      </c>
      <c r="H4" t="s">
        <v>1443</v>
      </c>
      <c r="I4" s="199">
        <v>43702</v>
      </c>
      <c r="J4" t="s">
        <v>1043</v>
      </c>
      <c r="K4" t="s">
        <v>1453</v>
      </c>
      <c r="L4">
        <v>0.5</v>
      </c>
      <c r="M4">
        <v>0.08</v>
      </c>
      <c r="N4">
        <v>0.57999999999999996</v>
      </c>
    </row>
    <row r="5" spans="1:14" x14ac:dyDescent="0.2">
      <c r="A5">
        <v>3605</v>
      </c>
      <c r="B5" t="s">
        <v>1037</v>
      </c>
      <c r="C5" t="s">
        <v>1038</v>
      </c>
      <c r="D5" t="s">
        <v>1053</v>
      </c>
      <c r="E5">
        <v>100</v>
      </c>
      <c r="F5" t="s">
        <v>1040</v>
      </c>
      <c r="G5" t="s">
        <v>1041</v>
      </c>
      <c r="H5" t="s">
        <v>1443</v>
      </c>
      <c r="I5" s="199">
        <v>43702</v>
      </c>
      <c r="J5" t="s">
        <v>1043</v>
      </c>
      <c r="K5" t="s">
        <v>1453</v>
      </c>
      <c r="L5">
        <v>0.5</v>
      </c>
      <c r="M5">
        <v>0.08</v>
      </c>
      <c r="N5">
        <v>0.57999999999999996</v>
      </c>
    </row>
    <row r="6" spans="1:14" x14ac:dyDescent="0.2">
      <c r="A6">
        <v>3605</v>
      </c>
      <c r="B6" t="s">
        <v>1037</v>
      </c>
      <c r="C6" t="s">
        <v>1038</v>
      </c>
      <c r="D6" t="s">
        <v>1053</v>
      </c>
      <c r="E6">
        <v>100</v>
      </c>
      <c r="F6" t="s">
        <v>1040</v>
      </c>
      <c r="G6" t="s">
        <v>1041</v>
      </c>
      <c r="H6" t="s">
        <v>1443</v>
      </c>
      <c r="I6" s="199">
        <v>43702</v>
      </c>
      <c r="J6" t="s">
        <v>1043</v>
      </c>
      <c r="K6" t="s">
        <v>1453</v>
      </c>
      <c r="L6">
        <v>0.5</v>
      </c>
      <c r="M6">
        <v>0.08</v>
      </c>
      <c r="N6">
        <v>0.57999999999999996</v>
      </c>
    </row>
    <row r="7" spans="1:14" x14ac:dyDescent="0.2">
      <c r="A7">
        <v>3605</v>
      </c>
      <c r="B7" t="s">
        <v>1037</v>
      </c>
      <c r="C7" t="s">
        <v>1038</v>
      </c>
      <c r="D7" t="s">
        <v>1053</v>
      </c>
      <c r="E7">
        <v>100</v>
      </c>
      <c r="F7" t="s">
        <v>1040</v>
      </c>
      <c r="G7" t="s">
        <v>1041</v>
      </c>
      <c r="H7" t="s">
        <v>1443</v>
      </c>
      <c r="I7" s="199">
        <v>43702</v>
      </c>
      <c r="J7" t="s">
        <v>1043</v>
      </c>
      <c r="K7" t="s">
        <v>1453</v>
      </c>
      <c r="L7">
        <v>0.5</v>
      </c>
      <c r="M7">
        <v>0.08</v>
      </c>
      <c r="N7">
        <v>0.57999999999999996</v>
      </c>
    </row>
    <row r="8" spans="1:14" x14ac:dyDescent="0.2">
      <c r="A8">
        <v>3605</v>
      </c>
      <c r="B8" t="s">
        <v>1037</v>
      </c>
      <c r="C8" t="s">
        <v>1038</v>
      </c>
      <c r="D8" t="s">
        <v>1053</v>
      </c>
      <c r="E8">
        <v>100</v>
      </c>
      <c r="F8" t="s">
        <v>1040</v>
      </c>
      <c r="G8" t="s">
        <v>1041</v>
      </c>
      <c r="H8" t="s">
        <v>1443</v>
      </c>
      <c r="I8" s="199">
        <v>43702</v>
      </c>
      <c r="J8" t="s">
        <v>1043</v>
      </c>
      <c r="K8" t="s">
        <v>1453</v>
      </c>
      <c r="L8">
        <v>0.5</v>
      </c>
      <c r="M8">
        <v>0.08</v>
      </c>
      <c r="N8">
        <v>0.57999999999999996</v>
      </c>
    </row>
    <row r="9" spans="1:14" x14ac:dyDescent="0.2">
      <c r="A9">
        <v>3605</v>
      </c>
      <c r="B9" t="s">
        <v>1037</v>
      </c>
      <c r="C9" t="s">
        <v>1038</v>
      </c>
      <c r="D9" t="s">
        <v>1053</v>
      </c>
      <c r="E9">
        <v>100</v>
      </c>
      <c r="F9" t="s">
        <v>1040</v>
      </c>
      <c r="G9" t="s">
        <v>1041</v>
      </c>
      <c r="H9" t="s">
        <v>1443</v>
      </c>
      <c r="I9" s="199">
        <v>43702</v>
      </c>
      <c r="J9" t="s">
        <v>1043</v>
      </c>
      <c r="K9" t="s">
        <v>1453</v>
      </c>
      <c r="L9">
        <v>0.5</v>
      </c>
      <c r="M9">
        <v>0.08</v>
      </c>
      <c r="N9">
        <v>0.57999999999999996</v>
      </c>
    </row>
    <row r="10" spans="1:14" x14ac:dyDescent="0.2">
      <c r="A10">
        <v>3605</v>
      </c>
      <c r="B10" t="s">
        <v>1037</v>
      </c>
      <c r="C10" t="s">
        <v>1038</v>
      </c>
      <c r="D10" t="s">
        <v>1053</v>
      </c>
      <c r="E10">
        <v>100</v>
      </c>
      <c r="F10" t="s">
        <v>1040</v>
      </c>
      <c r="G10" t="s">
        <v>1041</v>
      </c>
      <c r="H10" t="s">
        <v>1443</v>
      </c>
      <c r="I10" s="199">
        <v>43702</v>
      </c>
      <c r="J10" t="s">
        <v>1043</v>
      </c>
      <c r="K10" t="s">
        <v>1453</v>
      </c>
      <c r="L10">
        <v>0.5</v>
      </c>
      <c r="M10">
        <v>0.08</v>
      </c>
      <c r="N10">
        <v>0.57999999999999996</v>
      </c>
    </row>
    <row r="11" spans="1:14" x14ac:dyDescent="0.2">
      <c r="A11">
        <v>3605</v>
      </c>
      <c r="B11" t="s">
        <v>1037</v>
      </c>
      <c r="C11" t="s">
        <v>1038</v>
      </c>
      <c r="D11" t="s">
        <v>1039</v>
      </c>
      <c r="E11">
        <v>100</v>
      </c>
      <c r="F11" t="s">
        <v>1040</v>
      </c>
      <c r="G11" t="s">
        <v>1041</v>
      </c>
      <c r="H11" t="s">
        <v>1443</v>
      </c>
      <c r="I11" s="199">
        <v>43702</v>
      </c>
      <c r="J11" t="s">
        <v>1043</v>
      </c>
      <c r="K11" t="s">
        <v>1453</v>
      </c>
      <c r="L11">
        <v>5.85</v>
      </c>
      <c r="M11">
        <v>0.88</v>
      </c>
      <c r="N11">
        <v>6.73</v>
      </c>
    </row>
    <row r="12" spans="1:14" x14ac:dyDescent="0.2">
      <c r="A12">
        <v>3605</v>
      </c>
      <c r="B12" t="s">
        <v>1037</v>
      </c>
      <c r="C12" t="s">
        <v>1038</v>
      </c>
      <c r="D12" t="s">
        <v>1046</v>
      </c>
      <c r="E12">
        <v>100</v>
      </c>
      <c r="F12" t="s">
        <v>1040</v>
      </c>
      <c r="G12" t="s">
        <v>1041</v>
      </c>
      <c r="H12" t="s">
        <v>1443</v>
      </c>
      <c r="I12" s="199">
        <v>43702</v>
      </c>
      <c r="J12" t="s">
        <v>1043</v>
      </c>
      <c r="K12" t="s">
        <v>1453</v>
      </c>
      <c r="L12">
        <v>10</v>
      </c>
      <c r="M12">
        <v>1.5</v>
      </c>
      <c r="N12">
        <v>11.5</v>
      </c>
    </row>
    <row r="13" spans="1:14" x14ac:dyDescent="0.2">
      <c r="A13">
        <v>3605</v>
      </c>
      <c r="B13" t="s">
        <v>1037</v>
      </c>
      <c r="C13" t="s">
        <v>1038</v>
      </c>
      <c r="D13" t="s">
        <v>1053</v>
      </c>
      <c r="E13">
        <v>100</v>
      </c>
      <c r="F13" t="s">
        <v>1040</v>
      </c>
      <c r="G13" t="s">
        <v>1041</v>
      </c>
      <c r="H13" t="s">
        <v>1443</v>
      </c>
      <c r="I13" s="199">
        <v>43702</v>
      </c>
      <c r="J13" t="s">
        <v>1043</v>
      </c>
      <c r="K13" t="s">
        <v>1453</v>
      </c>
      <c r="L13">
        <v>0.5</v>
      </c>
      <c r="M13">
        <v>0.08</v>
      </c>
      <c r="N13">
        <v>0.57999999999999996</v>
      </c>
    </row>
    <row r="14" spans="1:14" x14ac:dyDescent="0.2">
      <c r="A14">
        <v>3605</v>
      </c>
      <c r="B14" t="s">
        <v>1037</v>
      </c>
      <c r="C14" t="s">
        <v>1038</v>
      </c>
      <c r="D14" t="s">
        <v>1053</v>
      </c>
      <c r="E14">
        <v>100</v>
      </c>
      <c r="F14" t="s">
        <v>1040</v>
      </c>
      <c r="G14" t="s">
        <v>1041</v>
      </c>
      <c r="H14" t="s">
        <v>1443</v>
      </c>
      <c r="I14" s="199">
        <v>43702</v>
      </c>
      <c r="J14" t="s">
        <v>1043</v>
      </c>
      <c r="K14" t="s">
        <v>1453</v>
      </c>
      <c r="L14">
        <v>0.5</v>
      </c>
      <c r="M14">
        <v>0.08</v>
      </c>
      <c r="N14">
        <v>0.57999999999999996</v>
      </c>
    </row>
    <row r="15" spans="1:14" x14ac:dyDescent="0.2">
      <c r="A15">
        <v>3605</v>
      </c>
      <c r="B15" t="s">
        <v>1037</v>
      </c>
      <c r="C15" t="s">
        <v>1038</v>
      </c>
      <c r="D15" t="s">
        <v>1445</v>
      </c>
      <c r="E15">
        <v>100</v>
      </c>
      <c r="F15" t="s">
        <v>1040</v>
      </c>
      <c r="G15" t="s">
        <v>1041</v>
      </c>
      <c r="H15" t="s">
        <v>1443</v>
      </c>
      <c r="I15" s="199">
        <v>43702</v>
      </c>
      <c r="J15" t="s">
        <v>1043</v>
      </c>
      <c r="K15" t="s">
        <v>1453</v>
      </c>
      <c r="L15">
        <v>15.01</v>
      </c>
      <c r="M15">
        <v>2.25</v>
      </c>
      <c r="N15">
        <v>17.260000000000002</v>
      </c>
    </row>
    <row r="16" spans="1:14" x14ac:dyDescent="0.2">
      <c r="A16">
        <v>3605</v>
      </c>
      <c r="B16" t="s">
        <v>1037</v>
      </c>
      <c r="C16" t="s">
        <v>1038</v>
      </c>
      <c r="D16" t="s">
        <v>1445</v>
      </c>
      <c r="E16">
        <v>100</v>
      </c>
      <c r="F16" t="s">
        <v>1040</v>
      </c>
      <c r="G16" t="s">
        <v>1041</v>
      </c>
      <c r="H16" t="s">
        <v>1443</v>
      </c>
      <c r="I16" s="199">
        <v>43702</v>
      </c>
      <c r="J16" t="s">
        <v>1043</v>
      </c>
      <c r="K16" t="s">
        <v>1453</v>
      </c>
      <c r="L16">
        <v>7.5</v>
      </c>
      <c r="M16">
        <v>1.1299999999999999</v>
      </c>
      <c r="N16">
        <v>8.6300000000000008</v>
      </c>
    </row>
    <row r="17" spans="1:14" x14ac:dyDescent="0.2">
      <c r="A17">
        <v>3605</v>
      </c>
      <c r="B17" t="s">
        <v>1037</v>
      </c>
      <c r="C17" t="s">
        <v>1038</v>
      </c>
      <c r="D17" t="s">
        <v>1056</v>
      </c>
      <c r="E17">
        <v>100</v>
      </c>
      <c r="F17" t="s">
        <v>1040</v>
      </c>
      <c r="G17" t="s">
        <v>1041</v>
      </c>
      <c r="H17" t="s">
        <v>1443</v>
      </c>
      <c r="I17" s="199">
        <v>43702</v>
      </c>
      <c r="J17" t="s">
        <v>1043</v>
      </c>
      <c r="K17" t="s">
        <v>1453</v>
      </c>
      <c r="L17">
        <v>7.5</v>
      </c>
      <c r="M17">
        <v>1.1299999999999999</v>
      </c>
      <c r="N17">
        <v>8.6300000000000008</v>
      </c>
    </row>
    <row r="18" spans="1:14" x14ac:dyDescent="0.2">
      <c r="A18">
        <v>3605</v>
      </c>
      <c r="B18" t="s">
        <v>1435</v>
      </c>
      <c r="C18" t="s">
        <v>1038</v>
      </c>
      <c r="D18" t="s">
        <v>1436</v>
      </c>
      <c r="E18">
        <v>100</v>
      </c>
      <c r="F18" t="s">
        <v>1040</v>
      </c>
      <c r="G18" t="s">
        <v>1454</v>
      </c>
      <c r="H18" t="s">
        <v>1455</v>
      </c>
      <c r="I18" s="199">
        <v>43724</v>
      </c>
      <c r="J18" t="s">
        <v>1043</v>
      </c>
      <c r="K18" t="s">
        <v>1441</v>
      </c>
      <c r="L18">
        <v>135.35</v>
      </c>
      <c r="M18">
        <v>0</v>
      </c>
      <c r="N18">
        <v>135.35</v>
      </c>
    </row>
    <row r="19" spans="1:14" x14ac:dyDescent="0.2">
      <c r="A19">
        <v>3605</v>
      </c>
      <c r="B19" t="s">
        <v>1435</v>
      </c>
      <c r="C19" t="s">
        <v>1038</v>
      </c>
      <c r="D19" t="s">
        <v>1456</v>
      </c>
      <c r="E19">
        <v>100</v>
      </c>
      <c r="F19" t="s">
        <v>1040</v>
      </c>
      <c r="G19" t="s">
        <v>1454</v>
      </c>
      <c r="H19" t="s">
        <v>1455</v>
      </c>
      <c r="I19" s="199">
        <v>43724</v>
      </c>
      <c r="J19" t="s">
        <v>1043</v>
      </c>
      <c r="K19" t="s">
        <v>1441</v>
      </c>
      <c r="L19">
        <v>40</v>
      </c>
      <c r="M19">
        <v>0</v>
      </c>
      <c r="N19">
        <v>40</v>
      </c>
    </row>
    <row r="20" spans="1:14" x14ac:dyDescent="0.2">
      <c r="A20">
        <v>3605</v>
      </c>
      <c r="B20" t="s">
        <v>1435</v>
      </c>
      <c r="C20" t="s">
        <v>1038</v>
      </c>
      <c r="D20" t="s">
        <v>1456</v>
      </c>
      <c r="E20">
        <v>100</v>
      </c>
      <c r="F20" t="s">
        <v>1040</v>
      </c>
      <c r="G20" t="s">
        <v>1454</v>
      </c>
      <c r="H20" t="s">
        <v>1455</v>
      </c>
      <c r="I20" s="199">
        <v>43724</v>
      </c>
      <c r="J20" t="s">
        <v>1043</v>
      </c>
      <c r="K20" t="s">
        <v>1441</v>
      </c>
      <c r="L20">
        <v>40</v>
      </c>
      <c r="M20">
        <v>0</v>
      </c>
      <c r="N20">
        <v>40</v>
      </c>
    </row>
    <row r="21" spans="1:14" x14ac:dyDescent="0.2">
      <c r="A21">
        <v>3605</v>
      </c>
      <c r="B21" t="s">
        <v>1435</v>
      </c>
      <c r="C21" t="s">
        <v>1038</v>
      </c>
      <c r="D21" t="s">
        <v>1456</v>
      </c>
      <c r="E21">
        <v>100</v>
      </c>
      <c r="F21" t="s">
        <v>1040</v>
      </c>
      <c r="G21" t="s">
        <v>1454</v>
      </c>
      <c r="H21" t="s">
        <v>1455</v>
      </c>
      <c r="I21" s="199">
        <v>43724</v>
      </c>
      <c r="J21" t="s">
        <v>1043</v>
      </c>
      <c r="K21" t="s">
        <v>1441</v>
      </c>
      <c r="L21">
        <v>40</v>
      </c>
      <c r="M21">
        <v>0</v>
      </c>
      <c r="N21">
        <v>40</v>
      </c>
    </row>
    <row r="22" spans="1:14" x14ac:dyDescent="0.2">
      <c r="A22">
        <v>3605</v>
      </c>
      <c r="B22" t="s">
        <v>1435</v>
      </c>
      <c r="C22" t="s">
        <v>1038</v>
      </c>
      <c r="D22" t="s">
        <v>1053</v>
      </c>
      <c r="E22">
        <v>100</v>
      </c>
      <c r="F22" t="s">
        <v>1040</v>
      </c>
      <c r="G22" t="s">
        <v>1454</v>
      </c>
      <c r="H22" t="s">
        <v>1455</v>
      </c>
      <c r="I22" s="199">
        <v>43724</v>
      </c>
      <c r="J22" t="s">
        <v>1043</v>
      </c>
      <c r="K22" t="s">
        <v>1441</v>
      </c>
      <c r="L22">
        <v>0.5</v>
      </c>
      <c r="M22">
        <v>0</v>
      </c>
      <c r="N22">
        <v>0.5</v>
      </c>
    </row>
    <row r="23" spans="1:14" x14ac:dyDescent="0.2">
      <c r="A23">
        <v>3605</v>
      </c>
      <c r="B23" t="s">
        <v>1435</v>
      </c>
      <c r="C23" t="s">
        <v>1038</v>
      </c>
      <c r="D23" t="s">
        <v>1053</v>
      </c>
      <c r="E23">
        <v>100</v>
      </c>
      <c r="F23" t="s">
        <v>1040</v>
      </c>
      <c r="G23" t="s">
        <v>1454</v>
      </c>
      <c r="H23" t="s">
        <v>1455</v>
      </c>
      <c r="I23" s="199">
        <v>43724</v>
      </c>
      <c r="J23" t="s">
        <v>1043</v>
      </c>
      <c r="K23" t="s">
        <v>1441</v>
      </c>
      <c r="L23">
        <v>0.5</v>
      </c>
      <c r="M23">
        <v>0</v>
      </c>
      <c r="N23">
        <v>0.5</v>
      </c>
    </row>
    <row r="24" spans="1:14" x14ac:dyDescent="0.2">
      <c r="A24">
        <v>3605</v>
      </c>
      <c r="B24" t="s">
        <v>1435</v>
      </c>
      <c r="C24" t="s">
        <v>1038</v>
      </c>
      <c r="D24" t="s">
        <v>1053</v>
      </c>
      <c r="E24">
        <v>100</v>
      </c>
      <c r="F24" t="s">
        <v>1040</v>
      </c>
      <c r="G24" t="s">
        <v>1454</v>
      </c>
      <c r="H24" t="s">
        <v>1455</v>
      </c>
      <c r="I24" s="199">
        <v>43724</v>
      </c>
      <c r="J24" t="s">
        <v>1043</v>
      </c>
      <c r="K24" t="s">
        <v>1441</v>
      </c>
      <c r="L24">
        <v>0.5</v>
      </c>
      <c r="M24">
        <v>0</v>
      </c>
      <c r="N24">
        <v>0.5</v>
      </c>
    </row>
    <row r="25" spans="1:14" x14ac:dyDescent="0.2">
      <c r="A25">
        <v>3605</v>
      </c>
      <c r="B25" t="s">
        <v>1435</v>
      </c>
      <c r="C25" t="s">
        <v>1038</v>
      </c>
      <c r="D25" t="s">
        <v>1053</v>
      </c>
      <c r="E25">
        <v>100</v>
      </c>
      <c r="F25" t="s">
        <v>1040</v>
      </c>
      <c r="G25" t="s">
        <v>1454</v>
      </c>
      <c r="H25" t="s">
        <v>1455</v>
      </c>
      <c r="I25" s="199">
        <v>43724</v>
      </c>
      <c r="J25" t="s">
        <v>1043</v>
      </c>
      <c r="K25" t="s">
        <v>1441</v>
      </c>
      <c r="L25">
        <v>0.5</v>
      </c>
      <c r="M25">
        <v>0</v>
      </c>
      <c r="N25">
        <v>0.5</v>
      </c>
    </row>
    <row r="26" spans="1:14" x14ac:dyDescent="0.2">
      <c r="A26">
        <v>3605</v>
      </c>
      <c r="B26" t="s">
        <v>1435</v>
      </c>
      <c r="C26" t="s">
        <v>1038</v>
      </c>
      <c r="D26" t="s">
        <v>1053</v>
      </c>
      <c r="E26">
        <v>100</v>
      </c>
      <c r="F26" t="s">
        <v>1040</v>
      </c>
      <c r="G26" t="s">
        <v>1454</v>
      </c>
      <c r="H26" t="s">
        <v>1455</v>
      </c>
      <c r="I26" s="199">
        <v>43724</v>
      </c>
      <c r="J26" t="s">
        <v>1043</v>
      </c>
      <c r="K26" t="s">
        <v>1441</v>
      </c>
      <c r="L26">
        <v>0.5</v>
      </c>
      <c r="M26">
        <v>0</v>
      </c>
      <c r="N26">
        <v>0.5</v>
      </c>
    </row>
    <row r="27" spans="1:14" x14ac:dyDescent="0.2">
      <c r="A27">
        <v>3605</v>
      </c>
      <c r="B27" t="s">
        <v>1435</v>
      </c>
      <c r="C27" t="s">
        <v>1038</v>
      </c>
      <c r="D27" t="s">
        <v>1053</v>
      </c>
      <c r="E27">
        <v>100</v>
      </c>
      <c r="F27" t="s">
        <v>1040</v>
      </c>
      <c r="G27" t="s">
        <v>1454</v>
      </c>
      <c r="H27" t="s">
        <v>1455</v>
      </c>
      <c r="I27" s="199">
        <v>43724</v>
      </c>
      <c r="J27" t="s">
        <v>1043</v>
      </c>
      <c r="K27" t="s">
        <v>1441</v>
      </c>
      <c r="L27">
        <v>0.5</v>
      </c>
      <c r="M27">
        <v>0</v>
      </c>
      <c r="N27">
        <v>0.5</v>
      </c>
    </row>
    <row r="28" spans="1:14" x14ac:dyDescent="0.2">
      <c r="A28">
        <v>3605</v>
      </c>
      <c r="B28" t="s">
        <v>1435</v>
      </c>
      <c r="C28" t="s">
        <v>1038</v>
      </c>
      <c r="D28" t="s">
        <v>1442</v>
      </c>
      <c r="E28">
        <v>100</v>
      </c>
      <c r="F28" t="s">
        <v>1040</v>
      </c>
      <c r="G28" t="s">
        <v>1454</v>
      </c>
      <c r="H28" t="s">
        <v>1455</v>
      </c>
      <c r="I28" s="199">
        <v>43724</v>
      </c>
      <c r="J28" t="s">
        <v>1043</v>
      </c>
      <c r="K28" t="s">
        <v>1441</v>
      </c>
      <c r="L28">
        <v>50</v>
      </c>
      <c r="M28">
        <v>0</v>
      </c>
      <c r="N28">
        <v>50</v>
      </c>
    </row>
    <row r="29" spans="1:14" x14ac:dyDescent="0.2">
      <c r="A29">
        <v>3605</v>
      </c>
      <c r="B29" t="s">
        <v>1435</v>
      </c>
      <c r="C29" t="s">
        <v>1038</v>
      </c>
      <c r="D29" t="s">
        <v>1456</v>
      </c>
      <c r="E29">
        <v>100</v>
      </c>
      <c r="F29" t="s">
        <v>1040</v>
      </c>
      <c r="G29" t="s">
        <v>1454</v>
      </c>
      <c r="H29" t="s">
        <v>1455</v>
      </c>
      <c r="I29" s="199">
        <v>43724</v>
      </c>
      <c r="J29" t="s">
        <v>1043</v>
      </c>
      <c r="K29" t="s">
        <v>1441</v>
      </c>
      <c r="L29">
        <v>40</v>
      </c>
      <c r="M29">
        <v>0</v>
      </c>
      <c r="N29">
        <v>40</v>
      </c>
    </row>
    <row r="30" spans="1:14" x14ac:dyDescent="0.2">
      <c r="A30">
        <v>3605</v>
      </c>
      <c r="B30" t="s">
        <v>1037</v>
      </c>
      <c r="C30" t="s">
        <v>1038</v>
      </c>
      <c r="D30" t="s">
        <v>1039</v>
      </c>
      <c r="E30">
        <v>100</v>
      </c>
      <c r="F30" t="s">
        <v>1040</v>
      </c>
      <c r="G30" t="s">
        <v>1446</v>
      </c>
      <c r="H30" t="s">
        <v>1443</v>
      </c>
      <c r="I30" s="199">
        <v>43756</v>
      </c>
      <c r="J30" t="s">
        <v>1043</v>
      </c>
      <c r="K30" t="s">
        <v>1041</v>
      </c>
      <c r="L30">
        <v>5.85</v>
      </c>
      <c r="M30">
        <v>0.88</v>
      </c>
      <c r="N30">
        <v>6.73</v>
      </c>
    </row>
    <row r="31" spans="1:14" x14ac:dyDescent="0.2">
      <c r="A31">
        <v>3605</v>
      </c>
      <c r="B31" t="s">
        <v>1037</v>
      </c>
      <c r="C31" t="s">
        <v>1038</v>
      </c>
      <c r="D31" t="s">
        <v>1046</v>
      </c>
      <c r="E31">
        <v>100</v>
      </c>
      <c r="F31" t="s">
        <v>1040</v>
      </c>
      <c r="G31" t="s">
        <v>1446</v>
      </c>
      <c r="H31" t="s">
        <v>1443</v>
      </c>
      <c r="I31" s="199">
        <v>43756</v>
      </c>
      <c r="J31" t="s">
        <v>1043</v>
      </c>
      <c r="K31" t="s">
        <v>1457</v>
      </c>
      <c r="L31">
        <v>10</v>
      </c>
      <c r="M31">
        <v>1.5</v>
      </c>
      <c r="N31">
        <v>11.5</v>
      </c>
    </row>
    <row r="32" spans="1:14" x14ac:dyDescent="0.2">
      <c r="A32">
        <v>3605</v>
      </c>
      <c r="B32" t="s">
        <v>1037</v>
      </c>
      <c r="C32" t="s">
        <v>1038</v>
      </c>
      <c r="D32" t="s">
        <v>1053</v>
      </c>
      <c r="E32">
        <v>100</v>
      </c>
      <c r="F32" t="s">
        <v>1040</v>
      </c>
      <c r="G32" t="s">
        <v>1446</v>
      </c>
      <c r="H32" t="s">
        <v>1443</v>
      </c>
      <c r="I32" s="199">
        <v>43756</v>
      </c>
      <c r="J32" t="s">
        <v>1043</v>
      </c>
      <c r="K32" t="s">
        <v>1457</v>
      </c>
      <c r="L32">
        <v>0.5</v>
      </c>
      <c r="M32">
        <v>0.08</v>
      </c>
      <c r="N32">
        <v>0.57999999999999996</v>
      </c>
    </row>
    <row r="33" spans="1:14" x14ac:dyDescent="0.2">
      <c r="A33">
        <v>3605</v>
      </c>
      <c r="B33" t="s">
        <v>1037</v>
      </c>
      <c r="C33" t="s">
        <v>1038</v>
      </c>
      <c r="D33" t="s">
        <v>1053</v>
      </c>
      <c r="E33">
        <v>100</v>
      </c>
      <c r="F33" t="s">
        <v>1040</v>
      </c>
      <c r="G33" t="s">
        <v>1446</v>
      </c>
      <c r="H33" t="s">
        <v>1443</v>
      </c>
      <c r="I33" s="199">
        <v>43756</v>
      </c>
      <c r="J33" t="s">
        <v>1043</v>
      </c>
      <c r="K33" t="s">
        <v>1457</v>
      </c>
      <c r="L33">
        <v>0.5</v>
      </c>
      <c r="M33">
        <v>0.08</v>
      </c>
      <c r="N33">
        <v>0.57999999999999996</v>
      </c>
    </row>
    <row r="34" spans="1:14" x14ac:dyDescent="0.2">
      <c r="A34">
        <v>3605</v>
      </c>
      <c r="B34" t="s">
        <v>1037</v>
      </c>
      <c r="C34" t="s">
        <v>1038</v>
      </c>
      <c r="D34" t="s">
        <v>1056</v>
      </c>
      <c r="E34">
        <v>100</v>
      </c>
      <c r="F34" t="s">
        <v>1040</v>
      </c>
      <c r="G34" t="s">
        <v>1446</v>
      </c>
      <c r="H34" t="s">
        <v>1443</v>
      </c>
      <c r="I34" s="199">
        <v>43756</v>
      </c>
      <c r="J34" t="s">
        <v>1043</v>
      </c>
      <c r="K34" t="s">
        <v>1458</v>
      </c>
      <c r="L34">
        <v>7.5</v>
      </c>
      <c r="M34">
        <v>1.1299999999999999</v>
      </c>
      <c r="N34">
        <v>8.6300000000000008</v>
      </c>
    </row>
    <row r="35" spans="1:14" x14ac:dyDescent="0.2">
      <c r="A35">
        <v>3605</v>
      </c>
      <c r="B35" t="s">
        <v>1037</v>
      </c>
      <c r="C35" t="s">
        <v>1038</v>
      </c>
      <c r="D35" t="s">
        <v>1046</v>
      </c>
      <c r="E35">
        <v>100</v>
      </c>
      <c r="F35" t="s">
        <v>1040</v>
      </c>
      <c r="G35" t="s">
        <v>1446</v>
      </c>
      <c r="H35" t="s">
        <v>1443</v>
      </c>
      <c r="I35" s="199">
        <v>43760</v>
      </c>
      <c r="J35" t="s">
        <v>1043</v>
      </c>
      <c r="K35" t="s">
        <v>1457</v>
      </c>
      <c r="L35">
        <v>10</v>
      </c>
      <c r="M35">
        <v>1.5</v>
      </c>
      <c r="N35">
        <v>11.5</v>
      </c>
    </row>
    <row r="36" spans="1:14" x14ac:dyDescent="0.2">
      <c r="A36">
        <v>3605</v>
      </c>
      <c r="B36" t="s">
        <v>1037</v>
      </c>
      <c r="C36" t="s">
        <v>1038</v>
      </c>
      <c r="D36" t="s">
        <v>1459</v>
      </c>
      <c r="E36">
        <v>100</v>
      </c>
      <c r="F36" t="s">
        <v>1040</v>
      </c>
      <c r="G36" t="s">
        <v>1446</v>
      </c>
      <c r="H36" t="s">
        <v>1443</v>
      </c>
      <c r="I36" s="199">
        <v>43760</v>
      </c>
      <c r="J36" t="s">
        <v>1043</v>
      </c>
      <c r="K36" t="s">
        <v>1460</v>
      </c>
      <c r="L36">
        <v>16.850000000000001</v>
      </c>
      <c r="M36">
        <v>2.5299999999999998</v>
      </c>
      <c r="N36">
        <v>19.38</v>
      </c>
    </row>
    <row r="37" spans="1:14" x14ac:dyDescent="0.2">
      <c r="A37">
        <v>3605</v>
      </c>
      <c r="B37" t="s">
        <v>1435</v>
      </c>
      <c r="C37" t="s">
        <v>1038</v>
      </c>
      <c r="D37" t="s">
        <v>1436</v>
      </c>
      <c r="E37">
        <v>100</v>
      </c>
      <c r="F37" t="s">
        <v>1040</v>
      </c>
      <c r="G37" t="s">
        <v>1041</v>
      </c>
      <c r="H37" t="s">
        <v>1461</v>
      </c>
      <c r="I37" s="199">
        <v>43840</v>
      </c>
      <c r="J37" t="s">
        <v>1043</v>
      </c>
      <c r="K37" t="s">
        <v>1462</v>
      </c>
      <c r="L37">
        <v>135.35</v>
      </c>
      <c r="M37">
        <v>0</v>
      </c>
      <c r="N37">
        <v>135.35</v>
      </c>
    </row>
    <row r="38" spans="1:14" ht="13.5" thickBot="1" x14ac:dyDescent="0.25">
      <c r="I38" s="199"/>
      <c r="L38" s="347">
        <f>SUM(L2:L37)</f>
        <v>602.26</v>
      </c>
      <c r="M38" s="347">
        <f t="shared" ref="M38:N38" si="0">SUM(M2:M37)</f>
        <v>17.860000000000003</v>
      </c>
      <c r="N38" s="347">
        <f t="shared" si="0"/>
        <v>620.12</v>
      </c>
    </row>
    <row r="39" spans="1:14" x14ac:dyDescent="0.2">
      <c r="I39" s="199"/>
    </row>
    <row r="40" spans="1:14" x14ac:dyDescent="0.2">
      <c r="I40" s="199"/>
    </row>
    <row r="41" spans="1:14" x14ac:dyDescent="0.2">
      <c r="A41">
        <v>3610</v>
      </c>
      <c r="B41" t="s">
        <v>1037</v>
      </c>
      <c r="C41" t="s">
        <v>1045</v>
      </c>
      <c r="E41">
        <v>100</v>
      </c>
      <c r="F41" t="s">
        <v>1040</v>
      </c>
      <c r="G41" t="s">
        <v>1446</v>
      </c>
      <c r="H41" t="s">
        <v>1443</v>
      </c>
      <c r="I41" s="199">
        <v>43650</v>
      </c>
      <c r="J41" t="s">
        <v>1043</v>
      </c>
      <c r="K41" t="s">
        <v>1447</v>
      </c>
      <c r="L41">
        <v>120.95</v>
      </c>
      <c r="M41">
        <v>18.14</v>
      </c>
      <c r="N41">
        <v>139.09</v>
      </c>
    </row>
    <row r="42" spans="1:14" x14ac:dyDescent="0.2">
      <c r="A42">
        <v>3610</v>
      </c>
      <c r="B42" t="s">
        <v>1037</v>
      </c>
      <c r="C42" t="s">
        <v>1045</v>
      </c>
      <c r="E42">
        <v>100</v>
      </c>
      <c r="F42" t="s">
        <v>1040</v>
      </c>
      <c r="G42" t="s">
        <v>1041</v>
      </c>
      <c r="H42" t="s">
        <v>1443</v>
      </c>
      <c r="I42" s="199">
        <v>43702</v>
      </c>
      <c r="J42" t="s">
        <v>1043</v>
      </c>
      <c r="K42" t="s">
        <v>1453</v>
      </c>
      <c r="L42">
        <v>1045.07</v>
      </c>
      <c r="M42">
        <v>156.76</v>
      </c>
      <c r="N42">
        <v>1201.83</v>
      </c>
    </row>
    <row r="43" spans="1:14" x14ac:dyDescent="0.2">
      <c r="A43">
        <v>3610</v>
      </c>
      <c r="B43" t="s">
        <v>1037</v>
      </c>
      <c r="C43" t="s">
        <v>1045</v>
      </c>
      <c r="E43">
        <v>100</v>
      </c>
      <c r="F43" t="s">
        <v>1040</v>
      </c>
      <c r="G43" t="s">
        <v>1446</v>
      </c>
      <c r="H43" t="s">
        <v>1443</v>
      </c>
      <c r="I43" s="199">
        <v>43756</v>
      </c>
      <c r="J43" t="s">
        <v>1043</v>
      </c>
      <c r="K43" t="s">
        <v>1458</v>
      </c>
      <c r="L43">
        <v>579.35</v>
      </c>
      <c r="M43">
        <v>86.9</v>
      </c>
      <c r="N43">
        <v>666.25</v>
      </c>
    </row>
    <row r="44" spans="1:14" x14ac:dyDescent="0.2">
      <c r="A44">
        <v>3610</v>
      </c>
      <c r="B44" t="s">
        <v>1037</v>
      </c>
      <c r="C44" t="s">
        <v>1045</v>
      </c>
      <c r="E44">
        <v>100</v>
      </c>
      <c r="F44" t="s">
        <v>1040</v>
      </c>
      <c r="G44" t="s">
        <v>1446</v>
      </c>
      <c r="H44" t="s">
        <v>1443</v>
      </c>
      <c r="I44" s="199">
        <v>43756</v>
      </c>
      <c r="J44" t="s">
        <v>1043</v>
      </c>
      <c r="K44" t="s">
        <v>1458</v>
      </c>
      <c r="L44">
        <v>83.51</v>
      </c>
      <c r="M44">
        <v>12.53</v>
      </c>
      <c r="N44">
        <v>96.04</v>
      </c>
    </row>
    <row r="45" spans="1:14" x14ac:dyDescent="0.2">
      <c r="A45">
        <v>3610</v>
      </c>
      <c r="B45" t="s">
        <v>1037</v>
      </c>
      <c r="C45" t="s">
        <v>1045</v>
      </c>
      <c r="E45">
        <v>100</v>
      </c>
      <c r="F45" t="s">
        <v>1040</v>
      </c>
      <c r="G45" t="s">
        <v>1446</v>
      </c>
      <c r="H45" t="s">
        <v>1443</v>
      </c>
      <c r="I45" s="199">
        <v>43760</v>
      </c>
      <c r="J45" t="s">
        <v>1043</v>
      </c>
      <c r="K45" t="s">
        <v>1460</v>
      </c>
      <c r="L45">
        <v>458.83</v>
      </c>
      <c r="M45">
        <v>68.819999999999993</v>
      </c>
      <c r="N45">
        <v>527.65</v>
      </c>
    </row>
    <row r="46" spans="1:14" x14ac:dyDescent="0.2">
      <c r="A46">
        <v>3610</v>
      </c>
      <c r="B46" t="s">
        <v>1037</v>
      </c>
      <c r="C46" t="s">
        <v>1045</v>
      </c>
      <c r="E46">
        <v>100</v>
      </c>
      <c r="F46" t="s">
        <v>1040</v>
      </c>
      <c r="G46" t="s">
        <v>1446</v>
      </c>
      <c r="H46" t="s">
        <v>1443</v>
      </c>
      <c r="I46" s="199">
        <v>43760</v>
      </c>
      <c r="J46" t="s">
        <v>1043</v>
      </c>
      <c r="K46" t="s">
        <v>1460</v>
      </c>
      <c r="L46">
        <v>-458.83</v>
      </c>
      <c r="M46">
        <v>-68.819999999999993</v>
      </c>
      <c r="N46">
        <v>-527.65</v>
      </c>
    </row>
    <row r="47" spans="1:14" ht="13.5" thickBot="1" x14ac:dyDescent="0.25">
      <c r="I47" s="199"/>
      <c r="L47" s="348">
        <f>SUM(L41:L46)</f>
        <v>1828.88</v>
      </c>
      <c r="M47" s="348">
        <f t="shared" ref="M47:N47" si="1">SUM(M41:M46)</f>
        <v>274.32999999999993</v>
      </c>
      <c r="N47" s="348">
        <f t="shared" si="1"/>
        <v>2103.21</v>
      </c>
    </row>
    <row r="48" spans="1:14" x14ac:dyDescent="0.2">
      <c r="I48" s="199"/>
    </row>
    <row r="49" spans="1:14" x14ac:dyDescent="0.2">
      <c r="I49" s="199"/>
    </row>
    <row r="50" spans="1:14" x14ac:dyDescent="0.2">
      <c r="A50">
        <v>3620</v>
      </c>
      <c r="B50" t="s">
        <v>1037</v>
      </c>
      <c r="C50" t="s">
        <v>1449</v>
      </c>
      <c r="E50">
        <v>100</v>
      </c>
      <c r="F50" t="s">
        <v>1040</v>
      </c>
      <c r="G50" t="s">
        <v>1041</v>
      </c>
      <c r="H50" t="s">
        <v>1443</v>
      </c>
      <c r="I50" s="199">
        <v>43702</v>
      </c>
      <c r="J50" t="s">
        <v>1043</v>
      </c>
      <c r="K50" t="s">
        <v>1453</v>
      </c>
      <c r="L50">
        <v>7.83</v>
      </c>
      <c r="M50">
        <v>1.17</v>
      </c>
      <c r="N50">
        <v>9</v>
      </c>
    </row>
    <row r="51" spans="1:14" x14ac:dyDescent="0.2">
      <c r="A51">
        <v>3620</v>
      </c>
      <c r="B51" t="s">
        <v>1037</v>
      </c>
      <c r="C51" t="s">
        <v>1449</v>
      </c>
      <c r="E51">
        <v>100</v>
      </c>
      <c r="F51" t="s">
        <v>1040</v>
      </c>
      <c r="G51" t="s">
        <v>1041</v>
      </c>
      <c r="H51" t="s">
        <v>1443</v>
      </c>
      <c r="I51" s="199">
        <v>43702</v>
      </c>
      <c r="J51" t="s">
        <v>1043</v>
      </c>
      <c r="K51" t="s">
        <v>1453</v>
      </c>
      <c r="L51">
        <v>30.87</v>
      </c>
      <c r="M51">
        <v>4.63</v>
      </c>
      <c r="N51">
        <v>35.5</v>
      </c>
    </row>
    <row r="52" spans="1:14" x14ac:dyDescent="0.2">
      <c r="A52">
        <v>3620</v>
      </c>
      <c r="B52" t="s">
        <v>1037</v>
      </c>
      <c r="C52" t="s">
        <v>1449</v>
      </c>
      <c r="E52">
        <v>100</v>
      </c>
      <c r="F52" t="s">
        <v>1040</v>
      </c>
      <c r="G52" t="s">
        <v>1041</v>
      </c>
      <c r="H52" t="s">
        <v>1443</v>
      </c>
      <c r="I52" s="199">
        <v>43702</v>
      </c>
      <c r="J52" t="s">
        <v>1043</v>
      </c>
      <c r="K52" t="s">
        <v>1453</v>
      </c>
      <c r="L52">
        <v>329.57</v>
      </c>
      <c r="M52">
        <v>49.44</v>
      </c>
      <c r="N52">
        <v>379.01</v>
      </c>
    </row>
    <row r="53" spans="1:14" x14ac:dyDescent="0.2">
      <c r="A53">
        <v>3620</v>
      </c>
      <c r="B53" t="s">
        <v>1037</v>
      </c>
      <c r="C53" t="s">
        <v>1449</v>
      </c>
      <c r="E53">
        <v>100</v>
      </c>
      <c r="F53" t="s">
        <v>1040</v>
      </c>
      <c r="G53" t="s">
        <v>1041</v>
      </c>
      <c r="H53" t="s">
        <v>1443</v>
      </c>
      <c r="I53" s="199">
        <v>43702</v>
      </c>
      <c r="J53" t="s">
        <v>1043</v>
      </c>
      <c r="K53" t="s">
        <v>1453</v>
      </c>
      <c r="L53">
        <v>15.22</v>
      </c>
      <c r="M53">
        <v>2.2799999999999998</v>
      </c>
      <c r="N53">
        <v>17.5</v>
      </c>
    </row>
    <row r="54" spans="1:14" x14ac:dyDescent="0.2">
      <c r="A54">
        <v>3620</v>
      </c>
      <c r="B54" t="s">
        <v>1037</v>
      </c>
      <c r="C54" t="s">
        <v>1449</v>
      </c>
      <c r="E54">
        <v>100</v>
      </c>
      <c r="F54" t="s">
        <v>1040</v>
      </c>
      <c r="G54" t="s">
        <v>1041</v>
      </c>
      <c r="H54" t="s">
        <v>1443</v>
      </c>
      <c r="I54" s="199">
        <v>43702</v>
      </c>
      <c r="J54" t="s">
        <v>1043</v>
      </c>
      <c r="K54" t="s">
        <v>1453</v>
      </c>
      <c r="L54">
        <v>36.520000000000003</v>
      </c>
      <c r="M54">
        <v>5.48</v>
      </c>
      <c r="N54">
        <v>42</v>
      </c>
    </row>
    <row r="55" spans="1:14" x14ac:dyDescent="0.2">
      <c r="A55">
        <v>3620</v>
      </c>
      <c r="B55" t="s">
        <v>1037</v>
      </c>
      <c r="C55" t="s">
        <v>1449</v>
      </c>
      <c r="E55">
        <v>100</v>
      </c>
      <c r="F55" t="s">
        <v>1040</v>
      </c>
      <c r="G55" t="s">
        <v>1041</v>
      </c>
      <c r="H55" t="s">
        <v>1443</v>
      </c>
      <c r="I55" s="199">
        <v>43702</v>
      </c>
      <c r="J55" t="s">
        <v>1043</v>
      </c>
      <c r="K55" t="s">
        <v>1453</v>
      </c>
      <c r="L55">
        <v>311.3</v>
      </c>
      <c r="M55">
        <v>46.7</v>
      </c>
      <c r="N55">
        <v>358</v>
      </c>
    </row>
    <row r="56" spans="1:14" x14ac:dyDescent="0.2">
      <c r="A56">
        <v>3620</v>
      </c>
      <c r="B56" t="s">
        <v>1037</v>
      </c>
      <c r="C56" t="s">
        <v>1449</v>
      </c>
      <c r="E56">
        <v>100</v>
      </c>
      <c r="F56" t="s">
        <v>1040</v>
      </c>
      <c r="G56" t="s">
        <v>1041</v>
      </c>
      <c r="H56" t="s">
        <v>1443</v>
      </c>
      <c r="I56" s="199">
        <v>43702</v>
      </c>
      <c r="J56" t="s">
        <v>1043</v>
      </c>
      <c r="K56" t="s">
        <v>1453</v>
      </c>
      <c r="L56">
        <v>190.43</v>
      </c>
      <c r="M56">
        <v>28.56</v>
      </c>
      <c r="N56">
        <v>218.99</v>
      </c>
    </row>
    <row r="57" spans="1:14" ht="13.5" thickBot="1" x14ac:dyDescent="0.25">
      <c r="I57" s="199"/>
      <c r="L57" s="347">
        <f>SUM(L50:L56)</f>
        <v>921.74</v>
      </c>
      <c r="M57" s="347">
        <f t="shared" ref="M57:N57" si="2">SUM(M50:M56)</f>
        <v>138.26</v>
      </c>
      <c r="N57" s="347">
        <f t="shared" si="2"/>
        <v>1060</v>
      </c>
    </row>
    <row r="58" spans="1:14" x14ac:dyDescent="0.2">
      <c r="I58" s="199"/>
    </row>
    <row r="59" spans="1:14" x14ac:dyDescent="0.2">
      <c r="I59" s="199"/>
    </row>
    <row r="60" spans="1:14" x14ac:dyDescent="0.2">
      <c r="A60">
        <v>3635</v>
      </c>
      <c r="B60" t="s">
        <v>1037</v>
      </c>
      <c r="C60" t="s">
        <v>1057</v>
      </c>
      <c r="E60">
        <v>100</v>
      </c>
      <c r="F60" t="s">
        <v>1040</v>
      </c>
      <c r="G60" t="s">
        <v>1446</v>
      </c>
      <c r="H60" t="s">
        <v>1443</v>
      </c>
      <c r="I60" s="199">
        <v>43650</v>
      </c>
      <c r="J60" t="s">
        <v>1043</v>
      </c>
      <c r="K60" t="s">
        <v>1447</v>
      </c>
      <c r="L60">
        <v>12</v>
      </c>
      <c r="M60">
        <v>1.8</v>
      </c>
      <c r="N60">
        <v>13.8</v>
      </c>
    </row>
    <row r="61" spans="1:14" x14ac:dyDescent="0.2">
      <c r="A61">
        <v>3635</v>
      </c>
      <c r="B61" t="s">
        <v>1037</v>
      </c>
      <c r="C61" t="s">
        <v>1057</v>
      </c>
      <c r="E61">
        <v>100</v>
      </c>
      <c r="F61" t="s">
        <v>1040</v>
      </c>
      <c r="G61" t="s">
        <v>1446</v>
      </c>
      <c r="H61" t="s">
        <v>1443</v>
      </c>
      <c r="I61" s="199">
        <v>43650</v>
      </c>
      <c r="J61" t="s">
        <v>1043</v>
      </c>
      <c r="K61" t="s">
        <v>1447</v>
      </c>
      <c r="L61">
        <v>0.74</v>
      </c>
      <c r="M61">
        <v>0.11</v>
      </c>
      <c r="N61">
        <v>0.85</v>
      </c>
    </row>
    <row r="62" spans="1:14" x14ac:dyDescent="0.2">
      <c r="A62">
        <v>3635</v>
      </c>
      <c r="B62" t="s">
        <v>1037</v>
      </c>
      <c r="C62" t="s">
        <v>1057</v>
      </c>
      <c r="E62">
        <v>100</v>
      </c>
      <c r="F62" t="s">
        <v>1040</v>
      </c>
      <c r="G62" t="s">
        <v>1446</v>
      </c>
      <c r="H62" t="s">
        <v>1443</v>
      </c>
      <c r="I62" s="199">
        <v>43650</v>
      </c>
      <c r="J62" t="s">
        <v>1043</v>
      </c>
      <c r="K62" t="s">
        <v>1447</v>
      </c>
      <c r="L62">
        <v>49</v>
      </c>
      <c r="M62">
        <v>7.35</v>
      </c>
      <c r="N62">
        <v>56.35</v>
      </c>
    </row>
    <row r="63" spans="1:14" x14ac:dyDescent="0.2">
      <c r="A63">
        <v>3635</v>
      </c>
      <c r="B63" t="s">
        <v>1037</v>
      </c>
      <c r="C63" t="s">
        <v>1057</v>
      </c>
      <c r="E63">
        <v>100</v>
      </c>
      <c r="F63" t="s">
        <v>1040</v>
      </c>
      <c r="G63" t="s">
        <v>1041</v>
      </c>
      <c r="H63" t="s">
        <v>1443</v>
      </c>
      <c r="I63" s="199">
        <v>43702</v>
      </c>
      <c r="J63" t="s">
        <v>1043</v>
      </c>
      <c r="K63" t="s">
        <v>1453</v>
      </c>
      <c r="L63">
        <v>36</v>
      </c>
      <c r="M63">
        <v>5.4</v>
      </c>
      <c r="N63">
        <v>41.4</v>
      </c>
    </row>
    <row r="64" spans="1:14" x14ac:dyDescent="0.2">
      <c r="A64">
        <v>3635</v>
      </c>
      <c r="B64" t="s">
        <v>1037</v>
      </c>
      <c r="C64" t="s">
        <v>1057</v>
      </c>
      <c r="E64">
        <v>100</v>
      </c>
      <c r="F64" t="s">
        <v>1040</v>
      </c>
      <c r="G64" t="s">
        <v>1041</v>
      </c>
      <c r="H64" t="s">
        <v>1443</v>
      </c>
      <c r="I64" s="199">
        <v>43702</v>
      </c>
      <c r="J64" t="s">
        <v>1043</v>
      </c>
      <c r="K64" t="s">
        <v>1453</v>
      </c>
      <c r="L64">
        <v>2.21</v>
      </c>
      <c r="M64">
        <v>0.33</v>
      </c>
      <c r="N64">
        <v>2.54</v>
      </c>
    </row>
    <row r="65" spans="1:14" x14ac:dyDescent="0.2">
      <c r="A65">
        <v>3635</v>
      </c>
      <c r="B65" t="s">
        <v>1037</v>
      </c>
      <c r="C65" t="s">
        <v>1057</v>
      </c>
      <c r="E65">
        <v>100</v>
      </c>
      <c r="F65" t="s">
        <v>1040</v>
      </c>
      <c r="G65" t="s">
        <v>1041</v>
      </c>
      <c r="H65" t="s">
        <v>1443</v>
      </c>
      <c r="I65" s="199">
        <v>43702</v>
      </c>
      <c r="J65" t="s">
        <v>1043</v>
      </c>
      <c r="K65" t="s">
        <v>1453</v>
      </c>
      <c r="L65">
        <v>147</v>
      </c>
      <c r="M65">
        <v>22.05</v>
      </c>
      <c r="N65">
        <v>169.05</v>
      </c>
    </row>
    <row r="66" spans="1:14" x14ac:dyDescent="0.2">
      <c r="A66">
        <v>3635</v>
      </c>
      <c r="B66" t="s">
        <v>1037</v>
      </c>
      <c r="C66" t="s">
        <v>1057</v>
      </c>
      <c r="E66">
        <v>100</v>
      </c>
      <c r="F66" t="s">
        <v>1040</v>
      </c>
      <c r="G66" t="s">
        <v>1446</v>
      </c>
      <c r="H66" t="s">
        <v>1443</v>
      </c>
      <c r="I66" s="199">
        <v>43756</v>
      </c>
      <c r="J66" t="s">
        <v>1043</v>
      </c>
      <c r="K66" t="s">
        <v>1458</v>
      </c>
      <c r="L66">
        <v>12</v>
      </c>
      <c r="M66">
        <v>1.8</v>
      </c>
      <c r="N66">
        <v>13.8</v>
      </c>
    </row>
    <row r="67" spans="1:14" x14ac:dyDescent="0.2">
      <c r="A67">
        <v>3635</v>
      </c>
      <c r="B67" t="s">
        <v>1037</v>
      </c>
      <c r="C67" t="s">
        <v>1057</v>
      </c>
      <c r="E67">
        <v>100</v>
      </c>
      <c r="F67" t="s">
        <v>1040</v>
      </c>
      <c r="G67" t="s">
        <v>1446</v>
      </c>
      <c r="H67" t="s">
        <v>1443</v>
      </c>
      <c r="I67" s="199">
        <v>43756</v>
      </c>
      <c r="J67" t="s">
        <v>1043</v>
      </c>
      <c r="K67" t="s">
        <v>1458</v>
      </c>
      <c r="L67">
        <v>0.74</v>
      </c>
      <c r="M67">
        <v>0.11</v>
      </c>
      <c r="N67">
        <v>0.85</v>
      </c>
    </row>
    <row r="68" spans="1:14" x14ac:dyDescent="0.2">
      <c r="A68">
        <v>3635</v>
      </c>
      <c r="B68" t="s">
        <v>1037</v>
      </c>
      <c r="C68" t="s">
        <v>1057</v>
      </c>
      <c r="E68">
        <v>100</v>
      </c>
      <c r="F68" t="s">
        <v>1040</v>
      </c>
      <c r="G68" t="s">
        <v>1446</v>
      </c>
      <c r="H68" t="s">
        <v>1443</v>
      </c>
      <c r="I68" s="199">
        <v>43756</v>
      </c>
      <c r="J68" t="s">
        <v>1043</v>
      </c>
      <c r="K68" t="s">
        <v>1458</v>
      </c>
      <c r="L68">
        <v>49</v>
      </c>
      <c r="M68">
        <v>7.35</v>
      </c>
      <c r="N68">
        <v>56.35</v>
      </c>
    </row>
    <row r="69" spans="1:14" ht="13.5" thickBot="1" x14ac:dyDescent="0.25">
      <c r="I69" s="199"/>
      <c r="L69" s="347">
        <f>SUM(L60:L68)</f>
        <v>308.69</v>
      </c>
      <c r="M69" s="347">
        <f t="shared" ref="M69:N69" si="3">SUM(M60:M68)</f>
        <v>46.3</v>
      </c>
      <c r="N69" s="347">
        <f t="shared" si="3"/>
        <v>354.99000000000007</v>
      </c>
    </row>
    <row r="70" spans="1:14" x14ac:dyDescent="0.2">
      <c r="I70" s="199"/>
    </row>
    <row r="71" spans="1:14" x14ac:dyDescent="0.2">
      <c r="I71" s="199"/>
    </row>
    <row r="72" spans="1:14" x14ac:dyDescent="0.2">
      <c r="A72">
        <v>3705</v>
      </c>
      <c r="B72" t="s">
        <v>1435</v>
      </c>
      <c r="C72" t="s">
        <v>1045</v>
      </c>
      <c r="E72">
        <v>100</v>
      </c>
      <c r="F72" t="s">
        <v>1040</v>
      </c>
      <c r="G72" t="s">
        <v>1454</v>
      </c>
      <c r="H72" t="s">
        <v>1455</v>
      </c>
      <c r="I72" s="199">
        <v>43724</v>
      </c>
      <c r="J72" t="s">
        <v>1043</v>
      </c>
      <c r="K72" t="s">
        <v>1441</v>
      </c>
      <c r="L72">
        <v>663.45</v>
      </c>
      <c r="M72">
        <v>0</v>
      </c>
      <c r="N72">
        <v>663.45</v>
      </c>
    </row>
    <row r="73" spans="1:14" x14ac:dyDescent="0.2">
      <c r="A73">
        <v>3705</v>
      </c>
      <c r="B73" t="s">
        <v>1435</v>
      </c>
      <c r="C73" t="s">
        <v>1045</v>
      </c>
      <c r="E73">
        <v>100</v>
      </c>
      <c r="F73" t="s">
        <v>1040</v>
      </c>
      <c r="G73" t="s">
        <v>1454</v>
      </c>
      <c r="H73" t="s">
        <v>1455</v>
      </c>
      <c r="I73" s="199">
        <v>43724</v>
      </c>
      <c r="J73" t="s">
        <v>1043</v>
      </c>
      <c r="K73" t="s">
        <v>1441</v>
      </c>
      <c r="L73">
        <v>9121.9</v>
      </c>
      <c r="M73">
        <v>0</v>
      </c>
      <c r="N73">
        <v>9121.9</v>
      </c>
    </row>
    <row r="74" spans="1:14" x14ac:dyDescent="0.2">
      <c r="A74">
        <v>3705</v>
      </c>
      <c r="B74" t="s">
        <v>1435</v>
      </c>
      <c r="C74" t="s">
        <v>1045</v>
      </c>
      <c r="E74">
        <v>100</v>
      </c>
      <c r="F74" t="s">
        <v>1040</v>
      </c>
      <c r="G74" t="s">
        <v>1454</v>
      </c>
      <c r="H74" t="s">
        <v>1455</v>
      </c>
      <c r="I74" s="199">
        <v>43724</v>
      </c>
      <c r="J74" t="s">
        <v>1043</v>
      </c>
      <c r="K74" t="s">
        <v>1441</v>
      </c>
      <c r="L74">
        <v>3312.01</v>
      </c>
      <c r="M74">
        <v>0</v>
      </c>
      <c r="N74">
        <v>3312.01</v>
      </c>
    </row>
    <row r="75" spans="1:14" x14ac:dyDescent="0.2">
      <c r="A75">
        <v>3705</v>
      </c>
      <c r="B75" t="s">
        <v>1435</v>
      </c>
      <c r="C75" t="s">
        <v>1045</v>
      </c>
      <c r="E75">
        <v>100</v>
      </c>
      <c r="F75" t="s">
        <v>1040</v>
      </c>
      <c r="G75" t="s">
        <v>1454</v>
      </c>
      <c r="H75" t="s">
        <v>1455</v>
      </c>
      <c r="I75" s="199">
        <v>43724</v>
      </c>
      <c r="J75" t="s">
        <v>1043</v>
      </c>
      <c r="K75" t="s">
        <v>1441</v>
      </c>
      <c r="L75">
        <v>5443.82</v>
      </c>
      <c r="M75">
        <v>0</v>
      </c>
      <c r="N75">
        <v>5443.82</v>
      </c>
    </row>
    <row r="76" spans="1:14" x14ac:dyDescent="0.2">
      <c r="A76">
        <v>3705</v>
      </c>
      <c r="B76" t="s">
        <v>1435</v>
      </c>
      <c r="C76" t="s">
        <v>1045</v>
      </c>
      <c r="E76">
        <v>100</v>
      </c>
      <c r="F76" t="s">
        <v>1040</v>
      </c>
      <c r="G76" t="s">
        <v>1454</v>
      </c>
      <c r="H76" t="s">
        <v>1455</v>
      </c>
      <c r="I76" s="199">
        <v>43724</v>
      </c>
      <c r="J76" t="s">
        <v>1043</v>
      </c>
      <c r="K76" t="s">
        <v>1441</v>
      </c>
      <c r="L76">
        <v>617.9</v>
      </c>
      <c r="M76">
        <v>0</v>
      </c>
      <c r="N76">
        <v>617.9</v>
      </c>
    </row>
    <row r="77" spans="1:14" x14ac:dyDescent="0.2">
      <c r="A77">
        <v>3705</v>
      </c>
      <c r="B77" t="s">
        <v>1435</v>
      </c>
      <c r="C77" t="s">
        <v>1045</v>
      </c>
      <c r="E77">
        <v>100</v>
      </c>
      <c r="F77" t="s">
        <v>1040</v>
      </c>
      <c r="G77" t="s">
        <v>1454</v>
      </c>
      <c r="H77" t="s">
        <v>1455</v>
      </c>
      <c r="I77" s="199">
        <v>43724</v>
      </c>
      <c r="J77" t="s">
        <v>1043</v>
      </c>
      <c r="K77" t="s">
        <v>1441</v>
      </c>
      <c r="L77">
        <v>349.55</v>
      </c>
      <c r="M77">
        <v>0</v>
      </c>
      <c r="N77">
        <v>349.55</v>
      </c>
    </row>
    <row r="78" spans="1:14" x14ac:dyDescent="0.2">
      <c r="A78">
        <v>3705</v>
      </c>
      <c r="B78" t="s">
        <v>1435</v>
      </c>
      <c r="C78" t="s">
        <v>1045</v>
      </c>
      <c r="E78">
        <v>100</v>
      </c>
      <c r="F78" t="s">
        <v>1040</v>
      </c>
      <c r="G78" t="s">
        <v>1463</v>
      </c>
      <c r="H78" t="s">
        <v>1461</v>
      </c>
      <c r="I78" s="199">
        <v>43840</v>
      </c>
      <c r="J78" t="s">
        <v>1043</v>
      </c>
      <c r="K78" t="s">
        <v>1462</v>
      </c>
      <c r="L78">
        <v>7777.23</v>
      </c>
      <c r="M78">
        <v>0</v>
      </c>
      <c r="N78">
        <v>7777.23</v>
      </c>
    </row>
    <row r="79" spans="1:14" ht="13.5" thickBot="1" x14ac:dyDescent="0.25">
      <c r="I79" s="199"/>
      <c r="L79" s="348">
        <f>SUM(L72:L78)</f>
        <v>27285.86</v>
      </c>
      <c r="M79" s="348">
        <f t="shared" ref="M79:N79" si="4">SUM(M72:M78)</f>
        <v>0</v>
      </c>
      <c r="N79" s="348">
        <f t="shared" si="4"/>
        <v>27285.86</v>
      </c>
    </row>
    <row r="80" spans="1:14" x14ac:dyDescent="0.2">
      <c r="I80" s="199"/>
    </row>
    <row r="81" spans="1:14" x14ac:dyDescent="0.2">
      <c r="I81" s="199"/>
    </row>
    <row r="82" spans="1:14" x14ac:dyDescent="0.2">
      <c r="A82">
        <v>3710</v>
      </c>
      <c r="B82" t="s">
        <v>1435</v>
      </c>
      <c r="C82" t="s">
        <v>1449</v>
      </c>
      <c r="E82">
        <v>100</v>
      </c>
      <c r="F82" t="s">
        <v>1040</v>
      </c>
      <c r="G82" t="s">
        <v>1454</v>
      </c>
      <c r="H82" t="s">
        <v>1455</v>
      </c>
      <c r="I82" s="199">
        <v>43724</v>
      </c>
      <c r="J82" t="s">
        <v>1043</v>
      </c>
      <c r="K82" t="s">
        <v>1441</v>
      </c>
      <c r="L82">
        <v>1172.1099999999999</v>
      </c>
      <c r="M82">
        <v>0</v>
      </c>
      <c r="N82">
        <v>1172.1099999999999</v>
      </c>
    </row>
    <row r="83" spans="1:14" x14ac:dyDescent="0.2">
      <c r="A83">
        <v>3710</v>
      </c>
      <c r="B83" t="s">
        <v>1435</v>
      </c>
      <c r="C83" t="s">
        <v>1449</v>
      </c>
      <c r="E83">
        <v>100</v>
      </c>
      <c r="F83" t="s">
        <v>1040</v>
      </c>
      <c r="G83" t="s">
        <v>1454</v>
      </c>
      <c r="H83" t="s">
        <v>1455</v>
      </c>
      <c r="I83" s="199">
        <v>43724</v>
      </c>
      <c r="J83" t="s">
        <v>1043</v>
      </c>
      <c r="K83" t="s">
        <v>1441</v>
      </c>
      <c r="L83">
        <v>751.12</v>
      </c>
      <c r="M83">
        <v>0</v>
      </c>
      <c r="N83">
        <v>751.12</v>
      </c>
    </row>
    <row r="84" spans="1:14" x14ac:dyDescent="0.2">
      <c r="A84">
        <v>3710</v>
      </c>
      <c r="B84" t="s">
        <v>1435</v>
      </c>
      <c r="C84" t="s">
        <v>1449</v>
      </c>
      <c r="E84">
        <v>100</v>
      </c>
      <c r="F84" t="s">
        <v>1040</v>
      </c>
      <c r="G84" t="s">
        <v>1454</v>
      </c>
      <c r="H84" t="s">
        <v>1455</v>
      </c>
      <c r="I84" s="199">
        <v>43724</v>
      </c>
      <c r="J84" t="s">
        <v>1043</v>
      </c>
      <c r="K84" t="s">
        <v>1441</v>
      </c>
      <c r="L84">
        <v>755.81</v>
      </c>
      <c r="M84">
        <v>0</v>
      </c>
      <c r="N84">
        <v>755.81</v>
      </c>
    </row>
    <row r="85" spans="1:14" x14ac:dyDescent="0.2">
      <c r="A85">
        <v>3710</v>
      </c>
      <c r="B85" t="s">
        <v>1435</v>
      </c>
      <c r="C85" t="s">
        <v>1449</v>
      </c>
      <c r="E85">
        <v>100</v>
      </c>
      <c r="F85" t="s">
        <v>1040</v>
      </c>
      <c r="G85" t="s">
        <v>1454</v>
      </c>
      <c r="H85" t="s">
        <v>1455</v>
      </c>
      <c r="I85" s="199">
        <v>43724</v>
      </c>
      <c r="J85" t="s">
        <v>1043</v>
      </c>
      <c r="K85" t="s">
        <v>1441</v>
      </c>
      <c r="L85">
        <v>-1172.1099999999999</v>
      </c>
      <c r="M85">
        <v>0</v>
      </c>
      <c r="N85">
        <v>-1172.1099999999999</v>
      </c>
    </row>
    <row r="86" spans="1:14" x14ac:dyDescent="0.2">
      <c r="A86">
        <v>3710</v>
      </c>
      <c r="B86" t="s">
        <v>1435</v>
      </c>
      <c r="C86" t="s">
        <v>1449</v>
      </c>
      <c r="E86">
        <v>100</v>
      </c>
      <c r="F86" t="s">
        <v>1040</v>
      </c>
      <c r="G86" t="s">
        <v>1454</v>
      </c>
      <c r="H86" t="s">
        <v>1455</v>
      </c>
      <c r="I86" s="199">
        <v>43724</v>
      </c>
      <c r="J86" t="s">
        <v>1043</v>
      </c>
      <c r="K86" t="s">
        <v>1441</v>
      </c>
      <c r="L86">
        <v>90.13</v>
      </c>
      <c r="M86">
        <v>0</v>
      </c>
      <c r="N86">
        <v>90.13</v>
      </c>
    </row>
    <row r="87" spans="1:14" x14ac:dyDescent="0.2">
      <c r="A87">
        <v>3710</v>
      </c>
      <c r="B87" t="s">
        <v>1435</v>
      </c>
      <c r="C87" t="s">
        <v>1449</v>
      </c>
      <c r="E87">
        <v>100</v>
      </c>
      <c r="F87" t="s">
        <v>1040</v>
      </c>
      <c r="G87" t="s">
        <v>1454</v>
      </c>
      <c r="H87" t="s">
        <v>1455</v>
      </c>
      <c r="I87" s="199">
        <v>43724</v>
      </c>
      <c r="J87" t="s">
        <v>1043</v>
      </c>
      <c r="K87" t="s">
        <v>1441</v>
      </c>
      <c r="L87">
        <v>90.69</v>
      </c>
      <c r="M87">
        <v>0</v>
      </c>
      <c r="N87">
        <v>90.69</v>
      </c>
    </row>
    <row r="88" spans="1:14" x14ac:dyDescent="0.2">
      <c r="A88">
        <v>3710</v>
      </c>
      <c r="B88" t="s">
        <v>1435</v>
      </c>
      <c r="C88" t="s">
        <v>1038</v>
      </c>
      <c r="D88" t="s">
        <v>1464</v>
      </c>
      <c r="E88">
        <v>100</v>
      </c>
      <c r="F88" t="s">
        <v>1040</v>
      </c>
      <c r="G88" t="s">
        <v>1454</v>
      </c>
      <c r="H88" t="s">
        <v>1455</v>
      </c>
      <c r="I88" s="199">
        <v>43724</v>
      </c>
      <c r="J88" t="s">
        <v>1043</v>
      </c>
      <c r="K88" t="s">
        <v>1441</v>
      </c>
      <c r="L88">
        <v>39</v>
      </c>
      <c r="M88">
        <v>0</v>
      </c>
      <c r="N88">
        <v>39</v>
      </c>
    </row>
    <row r="89" spans="1:14" ht="13.5" thickBot="1" x14ac:dyDescent="0.25">
      <c r="L89" s="348">
        <f>SUM(L82:L88)</f>
        <v>1726.75</v>
      </c>
      <c r="M89" s="348">
        <f t="shared" ref="M89:N89" si="5">SUM(M82:M88)</f>
        <v>0</v>
      </c>
      <c r="N89" s="348">
        <f t="shared" si="5"/>
        <v>1726.75</v>
      </c>
    </row>
    <row r="94" spans="1:14" x14ac:dyDescent="0.2">
      <c r="A94" s="208" t="s">
        <v>1058</v>
      </c>
      <c r="B94" s="208" t="s">
        <v>1030</v>
      </c>
      <c r="C94" s="208" t="s">
        <v>1021</v>
      </c>
      <c r="D94" s="177" t="s">
        <v>1059</v>
      </c>
    </row>
    <row r="95" spans="1:14" x14ac:dyDescent="0.2">
      <c r="A95" s="205">
        <v>43650</v>
      </c>
      <c r="B95" s="206" t="s">
        <v>1447</v>
      </c>
      <c r="C95" s="206">
        <v>3605</v>
      </c>
      <c r="D95" s="177">
        <v>17</v>
      </c>
      <c r="E95" s="280" t="s">
        <v>473</v>
      </c>
    </row>
    <row r="96" spans="1:14" x14ac:dyDescent="0.2">
      <c r="C96" s="206">
        <v>3610</v>
      </c>
      <c r="D96" s="177">
        <v>120.95</v>
      </c>
      <c r="E96" s="280" t="s">
        <v>473</v>
      </c>
    </row>
    <row r="97" spans="1:7" x14ac:dyDescent="0.2">
      <c r="C97" s="206">
        <v>3635</v>
      </c>
      <c r="D97" s="177">
        <v>61.74</v>
      </c>
      <c r="E97" s="280" t="s">
        <v>473</v>
      </c>
    </row>
    <row r="98" spans="1:7" x14ac:dyDescent="0.2">
      <c r="A98" s="205">
        <v>43702</v>
      </c>
      <c r="B98" s="206" t="s">
        <v>1465</v>
      </c>
      <c r="C98" s="206">
        <v>3605</v>
      </c>
      <c r="D98" s="177">
        <v>50.36</v>
      </c>
      <c r="E98" s="280" t="s">
        <v>473</v>
      </c>
    </row>
    <row r="99" spans="1:7" x14ac:dyDescent="0.2">
      <c r="C99" s="206">
        <v>3610</v>
      </c>
      <c r="D99" s="177">
        <v>1045.07</v>
      </c>
      <c r="E99" s="280" t="s">
        <v>473</v>
      </c>
    </row>
    <row r="100" spans="1:7" x14ac:dyDescent="0.2">
      <c r="C100" s="206">
        <v>3620</v>
      </c>
      <c r="D100" s="177">
        <v>921.74</v>
      </c>
      <c r="E100" s="280" t="s">
        <v>473</v>
      </c>
    </row>
    <row r="101" spans="1:7" x14ac:dyDescent="0.2">
      <c r="C101" s="206">
        <v>3635</v>
      </c>
      <c r="D101" s="177">
        <v>185.21</v>
      </c>
      <c r="E101" s="280" t="s">
        <v>473</v>
      </c>
    </row>
    <row r="102" spans="1:7" x14ac:dyDescent="0.2">
      <c r="A102" s="205">
        <v>43724</v>
      </c>
      <c r="B102" s="206" t="s">
        <v>1441</v>
      </c>
      <c r="C102" s="206">
        <v>3605</v>
      </c>
      <c r="D102" s="177">
        <v>348.35</v>
      </c>
      <c r="E102" s="280" t="s">
        <v>473</v>
      </c>
    </row>
    <row r="103" spans="1:7" x14ac:dyDescent="0.2">
      <c r="C103" s="206">
        <v>3705</v>
      </c>
      <c r="D103" s="177">
        <v>19508.63</v>
      </c>
      <c r="E103" s="280" t="s">
        <v>473</v>
      </c>
    </row>
    <row r="104" spans="1:7" x14ac:dyDescent="0.2">
      <c r="C104" s="206">
        <v>3710</v>
      </c>
      <c r="D104" s="177">
        <v>1726.75</v>
      </c>
      <c r="E104" s="280" t="s">
        <v>473</v>
      </c>
    </row>
    <row r="105" spans="1:7" x14ac:dyDescent="0.2">
      <c r="A105" s="205">
        <v>43756</v>
      </c>
      <c r="B105" s="206" t="s">
        <v>1457</v>
      </c>
      <c r="C105" s="206">
        <v>3605</v>
      </c>
      <c r="D105" s="177">
        <v>11</v>
      </c>
    </row>
    <row r="106" spans="1:7" x14ac:dyDescent="0.2">
      <c r="B106" s="206" t="s">
        <v>1041</v>
      </c>
      <c r="C106" s="206">
        <v>3605</v>
      </c>
      <c r="D106" s="177">
        <v>5.85</v>
      </c>
    </row>
    <row r="107" spans="1:7" x14ac:dyDescent="0.2">
      <c r="B107" s="206" t="s">
        <v>1466</v>
      </c>
      <c r="C107" s="206">
        <v>3605</v>
      </c>
      <c r="D107" s="177">
        <v>7.5</v>
      </c>
    </row>
    <row r="108" spans="1:7" x14ac:dyDescent="0.2">
      <c r="C108" s="206">
        <v>3610</v>
      </c>
      <c r="D108" s="177">
        <v>662.86</v>
      </c>
    </row>
    <row r="109" spans="1:7" x14ac:dyDescent="0.2">
      <c r="C109" s="206">
        <v>3635</v>
      </c>
      <c r="D109" s="177">
        <v>61.74</v>
      </c>
    </row>
    <row r="110" spans="1:7" x14ac:dyDescent="0.2">
      <c r="A110" s="205">
        <v>43760</v>
      </c>
      <c r="B110" s="206" t="s">
        <v>1460</v>
      </c>
      <c r="C110" s="206">
        <v>3605</v>
      </c>
      <c r="D110" s="177">
        <v>16.850000000000001</v>
      </c>
    </row>
    <row r="111" spans="1:7" x14ac:dyDescent="0.2">
      <c r="C111" s="206">
        <v>3610</v>
      </c>
      <c r="D111" s="177">
        <v>0</v>
      </c>
    </row>
    <row r="112" spans="1:7" x14ac:dyDescent="0.2">
      <c r="B112" s="206" t="s">
        <v>1457</v>
      </c>
      <c r="C112" s="206">
        <v>3605</v>
      </c>
      <c r="D112" s="177">
        <v>10</v>
      </c>
      <c r="G112">
        <v>704.46</v>
      </c>
    </row>
    <row r="113" spans="1:7" x14ac:dyDescent="0.2">
      <c r="A113" s="205">
        <v>43840</v>
      </c>
      <c r="B113" s="206" t="s">
        <v>1462</v>
      </c>
      <c r="C113" s="206">
        <v>3605</v>
      </c>
      <c r="D113" s="177">
        <v>135.35</v>
      </c>
    </row>
    <row r="114" spans="1:7" x14ac:dyDescent="0.2">
      <c r="C114" s="206">
        <v>3705</v>
      </c>
      <c r="D114" s="177">
        <v>7777.23</v>
      </c>
    </row>
    <row r="115" spans="1:7" x14ac:dyDescent="0.2">
      <c r="A115" s="205" t="s">
        <v>1062</v>
      </c>
      <c r="D115" s="177">
        <v>32674.179999999997</v>
      </c>
      <c r="G115">
        <f>G112+GETPIVOTDATA("Net",$A$94)</f>
        <v>33378.639999999999</v>
      </c>
    </row>
  </sheetData>
  <sortState xmlns:xlrd2="http://schemas.microsoft.com/office/spreadsheetml/2017/richdata2" ref="A2:N88">
    <sortCondition ref="A2:A88"/>
    <sortCondition ref="I2:I88"/>
  </sortState>
  <pageMargins left="0.34" right="0.2" top="0.3" bottom="0.24" header="0.22" footer="0.16"/>
  <pageSetup paperSize="9" scale="3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F64E-8DCC-4706-AD89-4EC54D585562}">
  <sheetPr>
    <pageSetUpPr fitToPage="1"/>
  </sheetPr>
  <dimension ref="A1:P8"/>
  <sheetViews>
    <sheetView workbookViewId="0">
      <selection activeCell="N22" sqref="N22"/>
    </sheetView>
  </sheetViews>
  <sheetFormatPr defaultRowHeight="12.75" x14ac:dyDescent="0.2"/>
  <cols>
    <col min="1" max="1" width="15.140625" bestFit="1" customWidth="1"/>
    <col min="3" max="3" width="19.85546875" bestFit="1" customWidth="1"/>
    <col min="4" max="4" width="14.140625" bestFit="1" customWidth="1"/>
    <col min="5" max="5" width="20.140625" bestFit="1" customWidth="1"/>
    <col min="8" max="8" width="34.140625" customWidth="1"/>
    <col min="9" max="9" width="35.42578125" customWidth="1"/>
    <col min="14" max="14" width="41.7109375" bestFit="1" customWidth="1"/>
    <col min="15" max="15" width="10.85546875" customWidth="1"/>
  </cols>
  <sheetData>
    <row r="1" spans="1:16" ht="13.5" thickBot="1" x14ac:dyDescent="0.25">
      <c r="A1" t="s">
        <v>1467</v>
      </c>
      <c r="B1" t="s">
        <v>1468</v>
      </c>
      <c r="C1" t="s">
        <v>1469</v>
      </c>
      <c r="D1" t="s">
        <v>1470</v>
      </c>
      <c r="E1" t="s">
        <v>1471</v>
      </c>
      <c r="F1" t="s">
        <v>1472</v>
      </c>
      <c r="G1" t="s">
        <v>1473</v>
      </c>
      <c r="H1" t="s">
        <v>1474</v>
      </c>
      <c r="I1" t="s">
        <v>1475</v>
      </c>
      <c r="J1" t="s">
        <v>1476</v>
      </c>
      <c r="K1" t="s">
        <v>1032</v>
      </c>
      <c r="L1" t="s">
        <v>1477</v>
      </c>
      <c r="M1" t="s">
        <v>1478</v>
      </c>
      <c r="N1" s="302" t="s">
        <v>1479</v>
      </c>
      <c r="O1" s="302" t="s">
        <v>1480</v>
      </c>
    </row>
    <row r="2" spans="1:16" x14ac:dyDescent="0.2">
      <c r="A2" s="199">
        <v>43683</v>
      </c>
      <c r="B2" s="201">
        <v>0.57430555555555551</v>
      </c>
      <c r="C2" s="199">
        <v>43683</v>
      </c>
      <c r="D2" s="199">
        <v>43708</v>
      </c>
      <c r="E2" t="s">
        <v>1319</v>
      </c>
      <c r="F2" t="s">
        <v>1481</v>
      </c>
      <c r="G2" t="s">
        <v>325</v>
      </c>
      <c r="H2" t="s">
        <v>1482</v>
      </c>
      <c r="I2" t="s">
        <v>1483</v>
      </c>
      <c r="J2">
        <v>8.99</v>
      </c>
      <c r="K2">
        <v>1.35</v>
      </c>
      <c r="L2">
        <v>10.34</v>
      </c>
      <c r="M2">
        <v>9.4</v>
      </c>
      <c r="N2" t="s">
        <v>1448</v>
      </c>
      <c r="O2" t="s">
        <v>134</v>
      </c>
      <c r="P2" s="280" t="s">
        <v>473</v>
      </c>
    </row>
    <row r="3" spans="1:16" x14ac:dyDescent="0.2">
      <c r="A3" s="199">
        <v>43683</v>
      </c>
      <c r="B3" s="201">
        <v>0.44930555555555557</v>
      </c>
      <c r="C3" s="199">
        <v>43683</v>
      </c>
      <c r="D3" s="199">
        <v>43708</v>
      </c>
      <c r="E3" t="s">
        <v>1319</v>
      </c>
      <c r="F3" t="s">
        <v>1481</v>
      </c>
      <c r="G3" t="s">
        <v>325</v>
      </c>
      <c r="H3" t="s">
        <v>1484</v>
      </c>
      <c r="I3" t="s">
        <v>1485</v>
      </c>
      <c r="J3">
        <v>37.5</v>
      </c>
      <c r="K3">
        <v>5.62</v>
      </c>
      <c r="L3">
        <v>43.12</v>
      </c>
      <c r="M3">
        <v>39.200000000000003</v>
      </c>
      <c r="N3" t="s">
        <v>1448</v>
      </c>
      <c r="O3" t="s">
        <v>134</v>
      </c>
      <c r="P3" s="280" t="s">
        <v>473</v>
      </c>
    </row>
    <row r="4" spans="1:16" x14ac:dyDescent="0.2">
      <c r="A4" s="199">
        <v>43686</v>
      </c>
      <c r="B4" s="201">
        <v>0.56874999999999998</v>
      </c>
      <c r="C4" s="199">
        <v>43686</v>
      </c>
      <c r="D4" s="199">
        <v>43708</v>
      </c>
      <c r="E4" t="s">
        <v>1319</v>
      </c>
      <c r="F4" t="s">
        <v>1481</v>
      </c>
      <c r="G4" t="s">
        <v>325</v>
      </c>
      <c r="H4" t="s">
        <v>1486</v>
      </c>
      <c r="I4" t="s">
        <v>1487</v>
      </c>
      <c r="J4">
        <v>90.67</v>
      </c>
      <c r="K4">
        <v>13.61</v>
      </c>
      <c r="L4">
        <v>104.28</v>
      </c>
      <c r="M4">
        <v>94.8</v>
      </c>
      <c r="N4" t="s">
        <v>1448</v>
      </c>
      <c r="O4" t="s">
        <v>134</v>
      </c>
      <c r="P4" s="280" t="s">
        <v>473</v>
      </c>
    </row>
    <row r="5" spans="1:16" x14ac:dyDescent="0.2">
      <c r="A5" s="199">
        <v>43707</v>
      </c>
      <c r="B5" s="201">
        <v>0.56319444444444444</v>
      </c>
      <c r="C5" s="199">
        <v>43707</v>
      </c>
      <c r="D5" s="199">
        <v>43708</v>
      </c>
      <c r="E5" t="s">
        <v>1319</v>
      </c>
      <c r="F5" t="s">
        <v>1481</v>
      </c>
      <c r="G5" t="s">
        <v>325</v>
      </c>
      <c r="H5" t="s">
        <v>1485</v>
      </c>
      <c r="I5" t="s">
        <v>1484</v>
      </c>
      <c r="J5">
        <v>38.26</v>
      </c>
      <c r="K5">
        <v>5.74</v>
      </c>
      <c r="L5">
        <v>44</v>
      </c>
      <c r="M5">
        <v>40</v>
      </c>
      <c r="N5" t="s">
        <v>1465</v>
      </c>
      <c r="O5" t="s">
        <v>137</v>
      </c>
      <c r="P5" s="280" t="s">
        <v>473</v>
      </c>
    </row>
    <row r="6" spans="1:16" x14ac:dyDescent="0.2">
      <c r="A6" s="199">
        <v>43707</v>
      </c>
      <c r="B6" s="201">
        <v>0.41041666666666665</v>
      </c>
      <c r="C6" s="199">
        <v>43707</v>
      </c>
      <c r="D6" s="199">
        <v>43708</v>
      </c>
      <c r="E6" t="s">
        <v>1319</v>
      </c>
      <c r="F6" t="s">
        <v>1481</v>
      </c>
      <c r="G6" t="s">
        <v>325</v>
      </c>
      <c r="H6" t="s">
        <v>1482</v>
      </c>
      <c r="I6" t="s">
        <v>1487</v>
      </c>
      <c r="J6">
        <v>82.46</v>
      </c>
      <c r="K6">
        <v>12.36</v>
      </c>
      <c r="L6">
        <v>94.82</v>
      </c>
      <c r="M6">
        <v>86.2</v>
      </c>
      <c r="N6" t="s">
        <v>1465</v>
      </c>
      <c r="O6" t="s">
        <v>134</v>
      </c>
      <c r="P6" s="280" t="s">
        <v>473</v>
      </c>
    </row>
    <row r="7" spans="1:16" x14ac:dyDescent="0.2">
      <c r="A7" s="199">
        <v>43724</v>
      </c>
      <c r="B7" s="201">
        <v>0.22291666666666665</v>
      </c>
      <c r="C7" s="199">
        <v>43724</v>
      </c>
      <c r="D7" s="199">
        <v>43738</v>
      </c>
      <c r="E7" t="s">
        <v>1319</v>
      </c>
      <c r="F7" t="s">
        <v>1481</v>
      </c>
      <c r="G7" t="s">
        <v>325</v>
      </c>
      <c r="H7" t="s">
        <v>1484</v>
      </c>
      <c r="I7" t="s">
        <v>1485</v>
      </c>
      <c r="J7">
        <v>35.1</v>
      </c>
      <c r="K7">
        <v>5.27</v>
      </c>
      <c r="L7">
        <v>40.369999999999997</v>
      </c>
      <c r="M7">
        <v>36.700000000000003</v>
      </c>
      <c r="N7" t="s">
        <v>1488</v>
      </c>
      <c r="O7" t="s">
        <v>137</v>
      </c>
      <c r="P7" s="280" t="s">
        <v>473</v>
      </c>
    </row>
    <row r="8" spans="1:16" ht="13.5" thickBot="1" x14ac:dyDescent="0.25">
      <c r="J8" s="347">
        <f>SUM(J2:J7)</f>
        <v>292.98</v>
      </c>
      <c r="K8" s="347">
        <f t="shared" ref="K8:M8" si="0">SUM(K2:K7)</f>
        <v>43.95</v>
      </c>
      <c r="L8" s="347">
        <f t="shared" si="0"/>
        <v>336.93</v>
      </c>
      <c r="M8" s="347">
        <f t="shared" si="0"/>
        <v>306.3</v>
      </c>
    </row>
  </sheetData>
  <sortState xmlns:xlrd2="http://schemas.microsoft.com/office/spreadsheetml/2017/richdata2" ref="A2:M7">
    <sortCondition ref="A2:A7"/>
  </sortState>
  <pageMargins left="0.15748031496062992" right="0.15748031496062992" top="0.74803149606299213" bottom="0.74803149606299213" header="0.31496062992125984" footer="0.31496062992125984"/>
  <pageSetup paperSize="9" scale="57" orientation="landscape" r:id="rId1"/>
  <headerFooter>
    <oddFooter>&amp;L&amp;8&amp;Z&amp;F&amp;A&amp;R&amp;8&amp;D&amp;T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30F9-7E59-4039-B5B6-76F57029000E}">
  <sheetPr>
    <pageSetUpPr fitToPage="1"/>
  </sheetPr>
  <dimension ref="A1:J57"/>
  <sheetViews>
    <sheetView topLeftCell="A31" workbookViewId="0">
      <selection activeCell="A57" sqref="A57:G57"/>
    </sheetView>
  </sheetViews>
  <sheetFormatPr defaultRowHeight="12.75" x14ac:dyDescent="0.2"/>
  <cols>
    <col min="10" max="10" width="9.85546875" customWidth="1"/>
  </cols>
  <sheetData>
    <row r="1" spans="1:10" ht="18" x14ac:dyDescent="0.25">
      <c r="A1" s="209" t="s">
        <v>1489</v>
      </c>
      <c r="B1" s="209"/>
      <c r="C1" s="209"/>
      <c r="D1" s="212" t="s">
        <v>1490</v>
      </c>
      <c r="E1" s="212"/>
      <c r="F1" s="875" t="s">
        <v>1491</v>
      </c>
      <c r="G1" s="875"/>
      <c r="H1" s="218"/>
      <c r="I1" s="218"/>
      <c r="J1" s="218"/>
    </row>
    <row r="2" spans="1:10" ht="18" x14ac:dyDescent="0.25">
      <c r="A2" s="210"/>
      <c r="B2" s="210"/>
      <c r="C2" s="210"/>
      <c r="D2" s="212" t="s">
        <v>1492</v>
      </c>
      <c r="E2" s="212"/>
      <c r="F2" s="876">
        <v>43665</v>
      </c>
      <c r="G2" s="876"/>
      <c r="H2" s="218"/>
      <c r="I2" s="218"/>
      <c r="J2" s="218"/>
    </row>
    <row r="3" spans="1:10" x14ac:dyDescent="0.2">
      <c r="A3" s="206"/>
      <c r="B3" s="206"/>
      <c r="C3" s="206"/>
      <c r="D3" s="213"/>
      <c r="E3" s="213"/>
      <c r="F3" s="213"/>
      <c r="G3" s="214"/>
      <c r="H3" s="214"/>
      <c r="I3" s="214"/>
      <c r="J3" s="214"/>
    </row>
    <row r="4" spans="1:10" x14ac:dyDescent="0.2">
      <c r="A4" s="206"/>
      <c r="B4" s="206"/>
      <c r="C4" s="206"/>
      <c r="D4" s="215" t="s">
        <v>1493</v>
      </c>
      <c r="E4" s="215" t="s">
        <v>1494</v>
      </c>
      <c r="F4" s="215" t="s">
        <v>1495</v>
      </c>
      <c r="G4" s="214"/>
      <c r="H4" s="214"/>
      <c r="I4" s="214"/>
      <c r="J4" s="214"/>
    </row>
    <row r="5" spans="1:10" x14ac:dyDescent="0.2">
      <c r="A5" s="211" t="s">
        <v>1496</v>
      </c>
      <c r="B5" s="211" t="s">
        <v>1497</v>
      </c>
      <c r="C5" s="211" t="s">
        <v>1498</v>
      </c>
      <c r="D5" s="216" t="s">
        <v>1499</v>
      </c>
      <c r="E5" s="216" t="s">
        <v>1499</v>
      </c>
      <c r="F5" s="216">
        <v>3925</v>
      </c>
      <c r="G5" s="217" t="s">
        <v>1500</v>
      </c>
      <c r="H5" s="219"/>
      <c r="I5" s="220"/>
      <c r="J5" s="221" t="s">
        <v>1501</v>
      </c>
    </row>
    <row r="6" spans="1:10" x14ac:dyDescent="0.2">
      <c r="A6" s="222" t="s">
        <v>1502</v>
      </c>
      <c r="B6" s="223" t="s">
        <v>55</v>
      </c>
      <c r="C6" s="224">
        <v>100</v>
      </c>
      <c r="D6" s="225">
        <v>22</v>
      </c>
      <c r="E6" s="226">
        <v>19.3</v>
      </c>
      <c r="F6" s="227">
        <v>46</v>
      </c>
      <c r="G6" s="228">
        <v>87.3</v>
      </c>
      <c r="H6" s="214"/>
      <c r="I6" s="229">
        <v>400</v>
      </c>
      <c r="J6" s="230">
        <v>191.03</v>
      </c>
    </row>
    <row r="7" spans="1:10" x14ac:dyDescent="0.2">
      <c r="A7" s="222" t="s">
        <v>1503</v>
      </c>
      <c r="B7" s="223" t="s">
        <v>1504</v>
      </c>
      <c r="C7" s="224">
        <v>100</v>
      </c>
      <c r="D7" s="225"/>
      <c r="E7" s="226">
        <v>0.85</v>
      </c>
      <c r="F7" s="227"/>
      <c r="G7" s="228">
        <v>0.85</v>
      </c>
      <c r="H7" s="214"/>
      <c r="I7" s="229">
        <v>420</v>
      </c>
      <c r="J7" s="230">
        <v>0</v>
      </c>
    </row>
    <row r="11" spans="1:10" x14ac:dyDescent="0.2">
      <c r="A11" s="22" t="s">
        <v>1505</v>
      </c>
      <c r="B11" s="22"/>
      <c r="C11" s="22"/>
      <c r="D11" s="22"/>
      <c r="E11" s="22"/>
      <c r="F11" s="22"/>
      <c r="G11" s="351">
        <f>G6+G7</f>
        <v>88.149999999999991</v>
      </c>
    </row>
    <row r="15" spans="1:10" ht="18" x14ac:dyDescent="0.25">
      <c r="A15" s="209" t="s">
        <v>1489</v>
      </c>
      <c r="B15" s="209"/>
      <c r="C15" s="209"/>
      <c r="D15" s="212" t="s">
        <v>1490</v>
      </c>
      <c r="E15" s="212"/>
      <c r="F15" s="875" t="s">
        <v>1491</v>
      </c>
      <c r="G15" s="875"/>
      <c r="H15" s="218"/>
      <c r="I15" s="218"/>
      <c r="J15" s="218"/>
    </row>
    <row r="16" spans="1:10" ht="18" x14ac:dyDescent="0.25">
      <c r="A16" s="210"/>
      <c r="B16" s="210"/>
      <c r="C16" s="210"/>
      <c r="D16" s="212" t="s">
        <v>1492</v>
      </c>
      <c r="E16" s="212"/>
      <c r="F16" s="876">
        <v>43696</v>
      </c>
      <c r="G16" s="876"/>
      <c r="H16" s="218"/>
      <c r="I16" s="218"/>
      <c r="J16" s="218"/>
    </row>
    <row r="17" spans="1:10" x14ac:dyDescent="0.2">
      <c r="A17" s="206"/>
      <c r="B17" s="206"/>
      <c r="C17" s="206"/>
      <c r="D17" s="213"/>
      <c r="E17" s="213"/>
      <c r="F17" s="213"/>
      <c r="G17" s="214"/>
      <c r="H17" s="214"/>
      <c r="I17" s="214"/>
      <c r="J17" s="214"/>
    </row>
    <row r="18" spans="1:10" x14ac:dyDescent="0.2">
      <c r="A18" s="206"/>
      <c r="B18" s="206"/>
      <c r="C18" s="206"/>
      <c r="D18" s="215" t="s">
        <v>1493</v>
      </c>
      <c r="E18" s="215" t="s">
        <v>1494</v>
      </c>
      <c r="F18" s="215" t="s">
        <v>1495</v>
      </c>
      <c r="G18" s="214"/>
      <c r="H18" s="214"/>
      <c r="I18" s="214"/>
      <c r="J18" s="214"/>
    </row>
    <row r="19" spans="1:10" x14ac:dyDescent="0.2">
      <c r="A19" s="211" t="s">
        <v>1496</v>
      </c>
      <c r="B19" s="211" t="s">
        <v>1497</v>
      </c>
      <c r="C19" s="211" t="s">
        <v>1498</v>
      </c>
      <c r="D19" s="216" t="s">
        <v>1499</v>
      </c>
      <c r="E19" s="216" t="s">
        <v>1499</v>
      </c>
      <c r="F19" s="216">
        <v>3925</v>
      </c>
      <c r="G19" s="217" t="s">
        <v>1500</v>
      </c>
      <c r="H19" s="219"/>
      <c r="I19" s="220"/>
      <c r="J19" s="221" t="s">
        <v>1501</v>
      </c>
    </row>
    <row r="20" spans="1:10" x14ac:dyDescent="0.2">
      <c r="A20" s="222" t="s">
        <v>1502</v>
      </c>
      <c r="B20" s="223" t="s">
        <v>55</v>
      </c>
      <c r="C20" s="224">
        <v>100</v>
      </c>
      <c r="D20" s="225">
        <v>22</v>
      </c>
      <c r="E20" s="226">
        <v>0.85</v>
      </c>
      <c r="F20" s="227">
        <v>35</v>
      </c>
      <c r="G20" s="228">
        <v>57.85</v>
      </c>
      <c r="H20" s="214"/>
      <c r="I20" s="229">
        <v>400</v>
      </c>
      <c r="J20" s="230">
        <v>168.73</v>
      </c>
    </row>
    <row r="21" spans="1:10" x14ac:dyDescent="0.2">
      <c r="A21" s="222" t="s">
        <v>1503</v>
      </c>
      <c r="B21" s="223" t="s">
        <v>1504</v>
      </c>
      <c r="C21" s="224">
        <v>100</v>
      </c>
      <c r="D21" s="225"/>
      <c r="E21" s="226">
        <v>0.85</v>
      </c>
      <c r="F21" s="227"/>
      <c r="G21" s="228">
        <v>0.85</v>
      </c>
      <c r="H21" s="214"/>
      <c r="I21" s="229">
        <v>420</v>
      </c>
      <c r="J21" s="230">
        <v>0</v>
      </c>
    </row>
    <row r="25" spans="1:10" x14ac:dyDescent="0.2">
      <c r="A25" s="22" t="s">
        <v>1506</v>
      </c>
      <c r="G25" s="351">
        <f>G20+G21</f>
        <v>58.7</v>
      </c>
    </row>
    <row r="28" spans="1:10" ht="18" x14ac:dyDescent="0.25">
      <c r="A28" s="209" t="s">
        <v>1489</v>
      </c>
      <c r="B28" s="209"/>
      <c r="C28" s="209"/>
      <c r="D28" s="212" t="s">
        <v>1490</v>
      </c>
      <c r="E28" s="212"/>
      <c r="F28" s="875" t="s">
        <v>1491</v>
      </c>
      <c r="G28" s="875"/>
      <c r="H28" s="218"/>
      <c r="I28" s="218"/>
      <c r="J28" s="218"/>
    </row>
    <row r="29" spans="1:10" ht="18" x14ac:dyDescent="0.25">
      <c r="A29" s="210"/>
      <c r="B29" s="210"/>
      <c r="C29" s="210"/>
      <c r="D29" s="212" t="s">
        <v>1492</v>
      </c>
      <c r="E29" s="212"/>
      <c r="F29" s="876">
        <v>43727</v>
      </c>
      <c r="G29" s="876"/>
      <c r="H29" s="218"/>
      <c r="I29" s="218"/>
      <c r="J29" s="218"/>
    </row>
    <row r="30" spans="1:10" x14ac:dyDescent="0.2">
      <c r="A30" s="206"/>
      <c r="B30" s="206"/>
      <c r="C30" s="206"/>
      <c r="D30" s="213"/>
      <c r="E30" s="213"/>
      <c r="F30" s="213"/>
      <c r="G30" s="214"/>
      <c r="H30" s="214"/>
      <c r="I30" s="214"/>
      <c r="J30" s="214"/>
    </row>
    <row r="31" spans="1:10" x14ac:dyDescent="0.2">
      <c r="A31" s="206"/>
      <c r="B31" s="206"/>
      <c r="C31" s="206"/>
      <c r="D31" s="215" t="s">
        <v>1493</v>
      </c>
      <c r="E31" s="215" t="s">
        <v>1494</v>
      </c>
      <c r="F31" s="215" t="s">
        <v>1495</v>
      </c>
      <c r="G31" s="214"/>
      <c r="H31" s="214"/>
      <c r="I31" s="214"/>
      <c r="J31" s="214"/>
    </row>
    <row r="32" spans="1:10" x14ac:dyDescent="0.2">
      <c r="A32" s="211" t="s">
        <v>1496</v>
      </c>
      <c r="B32" s="211" t="s">
        <v>1497</v>
      </c>
      <c r="C32" s="211" t="s">
        <v>1498</v>
      </c>
      <c r="D32" s="216" t="s">
        <v>1499</v>
      </c>
      <c r="E32" s="216" t="s">
        <v>1499</v>
      </c>
      <c r="F32" s="216">
        <v>3925</v>
      </c>
      <c r="G32" s="217" t="s">
        <v>1500</v>
      </c>
      <c r="H32" s="219"/>
      <c r="I32" s="220"/>
      <c r="J32" s="221" t="s">
        <v>1501</v>
      </c>
    </row>
    <row r="33" spans="1:10" x14ac:dyDescent="0.2">
      <c r="A33" s="222" t="s">
        <v>1502</v>
      </c>
      <c r="B33" s="223" t="s">
        <v>55</v>
      </c>
      <c r="C33" s="224">
        <v>100</v>
      </c>
      <c r="D33" s="225">
        <v>22</v>
      </c>
      <c r="E33" s="226">
        <v>1.02</v>
      </c>
      <c r="F33" s="227">
        <v>28</v>
      </c>
      <c r="G33" s="228">
        <v>51.019999999999996</v>
      </c>
      <c r="H33" s="214"/>
      <c r="I33" s="229">
        <v>400</v>
      </c>
      <c r="J33" s="230">
        <v>151.71</v>
      </c>
    </row>
    <row r="34" spans="1:10" x14ac:dyDescent="0.2">
      <c r="A34" s="222" t="s">
        <v>1503</v>
      </c>
      <c r="B34" s="223" t="s">
        <v>1504</v>
      </c>
      <c r="C34" s="224">
        <v>100</v>
      </c>
      <c r="D34" s="225"/>
      <c r="E34" s="226">
        <v>0.85</v>
      </c>
      <c r="F34" s="227"/>
      <c r="G34" s="228">
        <v>0.85</v>
      </c>
      <c r="H34" s="214"/>
      <c r="I34" s="229">
        <v>420</v>
      </c>
      <c r="J34" s="230">
        <v>0</v>
      </c>
    </row>
    <row r="38" spans="1:10" x14ac:dyDescent="0.2">
      <c r="A38" s="22" t="s">
        <v>1507</v>
      </c>
      <c r="G38" s="351">
        <f>G33+G34</f>
        <v>51.87</v>
      </c>
    </row>
    <row r="44" spans="1:10" ht="18" x14ac:dyDescent="0.25">
      <c r="A44" s="209" t="s">
        <v>1489</v>
      </c>
      <c r="B44" s="209"/>
      <c r="C44" s="209"/>
      <c r="D44" s="212" t="s">
        <v>1490</v>
      </c>
      <c r="E44" s="212"/>
      <c r="F44" s="875" t="s">
        <v>1491</v>
      </c>
      <c r="G44" s="875"/>
      <c r="H44" s="218"/>
      <c r="I44" s="218"/>
      <c r="J44" s="218"/>
    </row>
    <row r="45" spans="1:10" ht="18" x14ac:dyDescent="0.25">
      <c r="A45" s="210"/>
      <c r="B45" s="210"/>
      <c r="C45" s="210"/>
      <c r="D45" s="212" t="s">
        <v>1492</v>
      </c>
      <c r="E45" s="212"/>
      <c r="F45" s="876">
        <v>43757</v>
      </c>
      <c r="G45" s="876"/>
      <c r="H45" s="218"/>
      <c r="I45" s="218"/>
      <c r="J45" s="218"/>
    </row>
    <row r="46" spans="1:10" x14ac:dyDescent="0.2">
      <c r="A46" s="206"/>
      <c r="B46" s="206"/>
      <c r="C46" s="206"/>
      <c r="D46" s="213"/>
      <c r="E46" s="213"/>
      <c r="F46" s="213"/>
      <c r="G46" s="214"/>
      <c r="H46" s="214"/>
      <c r="I46" s="214"/>
      <c r="J46" s="214"/>
    </row>
    <row r="47" spans="1:10" x14ac:dyDescent="0.2">
      <c r="A47" s="206"/>
      <c r="B47" s="206"/>
      <c r="C47" s="206"/>
      <c r="D47" s="215" t="s">
        <v>1493</v>
      </c>
      <c r="E47" s="215" t="s">
        <v>1494</v>
      </c>
      <c r="F47" s="215" t="s">
        <v>1495</v>
      </c>
      <c r="G47" s="214"/>
      <c r="H47" s="214"/>
      <c r="I47" s="214"/>
      <c r="J47" s="214"/>
    </row>
    <row r="48" spans="1:10" x14ac:dyDescent="0.2">
      <c r="A48" s="211" t="s">
        <v>1496</v>
      </c>
      <c r="B48" s="211" t="s">
        <v>1497</v>
      </c>
      <c r="C48" s="211" t="s">
        <v>1498</v>
      </c>
      <c r="D48" s="216" t="s">
        <v>1499</v>
      </c>
      <c r="E48" s="216" t="s">
        <v>1499</v>
      </c>
      <c r="F48" s="216">
        <v>3925</v>
      </c>
      <c r="G48" s="217" t="s">
        <v>1500</v>
      </c>
      <c r="H48" s="219"/>
      <c r="I48" s="220"/>
      <c r="J48" s="221" t="s">
        <v>1501</v>
      </c>
    </row>
    <row r="49" spans="1:10" x14ac:dyDescent="0.2">
      <c r="A49" s="222" t="s">
        <v>1502</v>
      </c>
      <c r="B49" s="223" t="s">
        <v>55</v>
      </c>
      <c r="C49" s="224">
        <v>100</v>
      </c>
      <c r="D49" s="225">
        <v>22</v>
      </c>
      <c r="E49" s="226">
        <v>0.85</v>
      </c>
      <c r="F49" s="227">
        <v>56</v>
      </c>
      <c r="G49" s="228">
        <v>78.849999999999994</v>
      </c>
      <c r="H49" s="214"/>
      <c r="I49" s="229">
        <v>400</v>
      </c>
      <c r="J49" s="230">
        <v>323.63</v>
      </c>
    </row>
    <row r="50" spans="1:10" x14ac:dyDescent="0.2">
      <c r="A50" s="222" t="s">
        <v>1503</v>
      </c>
      <c r="B50" s="223" t="s">
        <v>1504</v>
      </c>
      <c r="C50" s="224">
        <v>100</v>
      </c>
      <c r="D50" s="225"/>
      <c r="E50" s="226">
        <v>0.85</v>
      </c>
      <c r="F50" s="227"/>
      <c r="G50" s="228">
        <v>0.85</v>
      </c>
      <c r="H50" s="214"/>
      <c r="I50" s="229">
        <v>420</v>
      </c>
      <c r="J50" s="230">
        <v>0</v>
      </c>
    </row>
    <row r="51" spans="1:10" x14ac:dyDescent="0.2">
      <c r="A51" s="325" t="s">
        <v>1508</v>
      </c>
      <c r="B51" s="326" t="s">
        <v>1509</v>
      </c>
      <c r="C51" s="327">
        <v>100</v>
      </c>
      <c r="D51" s="328">
        <v>22</v>
      </c>
      <c r="E51" s="329">
        <v>0.85</v>
      </c>
      <c r="F51" s="330"/>
      <c r="G51" s="228">
        <v>22.85</v>
      </c>
      <c r="H51" s="214"/>
      <c r="I51" s="331"/>
      <c r="J51" s="332"/>
    </row>
    <row r="52" spans="1:10" x14ac:dyDescent="0.2">
      <c r="A52" s="206"/>
      <c r="B52" s="206"/>
      <c r="C52" s="206"/>
      <c r="D52" s="213"/>
      <c r="E52" s="213"/>
      <c r="F52" s="213"/>
      <c r="G52" s="214">
        <v>62.24</v>
      </c>
      <c r="H52" s="214"/>
      <c r="I52" s="214"/>
      <c r="J52" s="214"/>
    </row>
    <row r="53" spans="1:10" x14ac:dyDescent="0.2">
      <c r="A53" s="206"/>
      <c r="B53" s="206"/>
      <c r="C53" s="206"/>
      <c r="D53" s="213"/>
      <c r="E53" s="213"/>
      <c r="F53" s="213"/>
      <c r="G53" s="214"/>
      <c r="H53" s="214"/>
      <c r="I53" s="214"/>
      <c r="J53" s="214"/>
    </row>
    <row r="57" spans="1:10" x14ac:dyDescent="0.2">
      <c r="A57" s="22" t="s">
        <v>1510</v>
      </c>
      <c r="G57" s="351">
        <f>G49+G50</f>
        <v>79.699999999999989</v>
      </c>
    </row>
  </sheetData>
  <mergeCells count="8">
    <mergeCell ref="F44:G44"/>
    <mergeCell ref="F45:G45"/>
    <mergeCell ref="F1:G1"/>
    <mergeCell ref="F2:G2"/>
    <mergeCell ref="F15:G15"/>
    <mergeCell ref="F16:G16"/>
    <mergeCell ref="F28:G28"/>
    <mergeCell ref="F29:G29"/>
  </mergeCells>
  <pageMargins left="0.27559055118110237" right="0.19685039370078741" top="0.74803149606299213" bottom="0.74803149606299213" header="0.31496062992125984" footer="0.31496062992125984"/>
  <pageSetup paperSize="9" scale="98" orientation="portrait" r:id="rId1"/>
  <headerFooter>
    <oddFooter>&amp;L&amp;8&amp;Z&amp;F
&amp;A&amp;R&amp;8&amp;D&amp;T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CBDD-3A67-4A1A-B09B-BE33C18666FC}">
  <sheetPr>
    <pageSetUpPr fitToPage="1"/>
  </sheetPr>
  <dimension ref="A1:Q84"/>
  <sheetViews>
    <sheetView topLeftCell="A40" workbookViewId="0">
      <selection activeCell="Q80" sqref="Q80"/>
    </sheetView>
  </sheetViews>
  <sheetFormatPr defaultRowHeight="12.75" x14ac:dyDescent="0.2"/>
  <cols>
    <col min="1" max="1" width="12.85546875" customWidth="1"/>
    <col min="2" max="2" width="10.42578125" bestFit="1" customWidth="1"/>
    <col min="3" max="3" width="22.85546875" bestFit="1" customWidth="1"/>
    <col min="4" max="4" width="14" bestFit="1" customWidth="1"/>
    <col min="5" max="5" width="70" customWidth="1"/>
    <col min="7" max="10" width="9.140625" hidden="1" customWidth="1"/>
    <col min="15" max="15" width="23.7109375" customWidth="1"/>
    <col min="16" max="16" width="20.140625" customWidth="1"/>
  </cols>
  <sheetData>
    <row r="1" spans="1:17" ht="31.5" x14ac:dyDescent="0.5">
      <c r="A1" s="265" t="s">
        <v>1511</v>
      </c>
    </row>
    <row r="3" spans="1:17" ht="18" x14ac:dyDescent="0.3">
      <c r="A3" s="266" t="s">
        <v>1512</v>
      </c>
    </row>
    <row r="5" spans="1:17" ht="15.75" x14ac:dyDescent="0.25">
      <c r="A5" s="267" t="s">
        <v>55</v>
      </c>
    </row>
    <row r="7" spans="1:17" ht="25.5" x14ac:dyDescent="0.2">
      <c r="A7" s="268" t="s">
        <v>1513</v>
      </c>
      <c r="B7" s="268" t="s">
        <v>1514</v>
      </c>
      <c r="C7" s="268" t="s">
        <v>1515</v>
      </c>
      <c r="D7" s="268" t="s">
        <v>1516</v>
      </c>
      <c r="E7" s="268" t="s">
        <v>1517</v>
      </c>
      <c r="F7" s="268" t="s">
        <v>1518</v>
      </c>
      <c r="G7" s="268" t="s">
        <v>305</v>
      </c>
      <c r="H7" s="268" t="s">
        <v>1519</v>
      </c>
      <c r="I7" s="268" t="s">
        <v>1520</v>
      </c>
      <c r="J7" s="268" t="s">
        <v>1521</v>
      </c>
      <c r="K7" s="268" t="s">
        <v>1113</v>
      </c>
      <c r="L7" s="268" t="s">
        <v>299</v>
      </c>
      <c r="M7" s="268" t="s">
        <v>1025</v>
      </c>
      <c r="N7" s="268" t="s">
        <v>1081</v>
      </c>
      <c r="O7" s="207" t="s">
        <v>1479</v>
      </c>
      <c r="P7" s="207" t="s">
        <v>1480</v>
      </c>
    </row>
    <row r="8" spans="1:17" x14ac:dyDescent="0.2">
      <c r="A8" s="269">
        <v>43524</v>
      </c>
      <c r="B8" s="270" t="s">
        <v>1084</v>
      </c>
      <c r="C8" s="271" t="s">
        <v>1522</v>
      </c>
      <c r="D8" s="271" t="s">
        <v>1523</v>
      </c>
      <c r="E8" s="271" t="s">
        <v>1524</v>
      </c>
      <c r="F8" s="272">
        <v>6.61</v>
      </c>
      <c r="G8" s="272">
        <v>7.6</v>
      </c>
      <c r="H8" s="272">
        <v>1</v>
      </c>
      <c r="I8" s="272">
        <v>0.99</v>
      </c>
      <c r="J8" s="272">
        <v>7.6</v>
      </c>
      <c r="K8" s="271" t="s">
        <v>386</v>
      </c>
      <c r="L8" s="271" t="s">
        <v>1525</v>
      </c>
      <c r="M8" s="271" t="s">
        <v>1158</v>
      </c>
      <c r="N8" s="271" t="s">
        <v>1110</v>
      </c>
      <c r="O8" s="271" t="s">
        <v>24</v>
      </c>
      <c r="P8" s="271" t="s">
        <v>134</v>
      </c>
    </row>
    <row r="9" spans="1:17" x14ac:dyDescent="0.2">
      <c r="A9" s="275">
        <v>43524</v>
      </c>
      <c r="B9" s="276" t="s">
        <v>1088</v>
      </c>
      <c r="C9" s="277" t="s">
        <v>1526</v>
      </c>
      <c r="D9" s="277" t="s">
        <v>1523</v>
      </c>
      <c r="E9" s="277" t="s">
        <v>1527</v>
      </c>
      <c r="F9" s="278">
        <v>5.74</v>
      </c>
      <c r="G9" s="278">
        <v>6.6</v>
      </c>
      <c r="H9" s="278">
        <v>1</v>
      </c>
      <c r="I9" s="278">
        <v>0.86</v>
      </c>
      <c r="J9" s="278">
        <v>6.6</v>
      </c>
      <c r="K9" s="277" t="s">
        <v>414</v>
      </c>
      <c r="L9" s="277" t="s">
        <v>1525</v>
      </c>
      <c r="M9" s="277" t="s">
        <v>1158</v>
      </c>
      <c r="N9" s="277" t="s">
        <v>1110</v>
      </c>
      <c r="O9" s="279" t="s">
        <v>1528</v>
      </c>
      <c r="P9" s="277" t="s">
        <v>134</v>
      </c>
    </row>
    <row r="10" spans="1:17" x14ac:dyDescent="0.2">
      <c r="A10" s="275">
        <v>43524</v>
      </c>
      <c r="B10" s="276" t="s">
        <v>1088</v>
      </c>
      <c r="C10" s="277" t="s">
        <v>1529</v>
      </c>
      <c r="D10" s="277" t="s">
        <v>1523</v>
      </c>
      <c r="E10" s="277" t="s">
        <v>1530</v>
      </c>
      <c r="F10" s="278">
        <v>17.91</v>
      </c>
      <c r="G10" s="278">
        <v>20.6</v>
      </c>
      <c r="H10" s="278">
        <v>1</v>
      </c>
      <c r="I10" s="278">
        <v>2.69</v>
      </c>
      <c r="J10" s="278">
        <v>20.6</v>
      </c>
      <c r="K10" s="277" t="s">
        <v>386</v>
      </c>
      <c r="L10" s="277" t="s">
        <v>1525</v>
      </c>
      <c r="M10" s="277" t="s">
        <v>1158</v>
      </c>
      <c r="N10" s="277" t="s">
        <v>1110</v>
      </c>
      <c r="O10" s="279" t="s">
        <v>1528</v>
      </c>
      <c r="P10" s="277" t="s">
        <v>134</v>
      </c>
    </row>
    <row r="11" spans="1:17" x14ac:dyDescent="0.2">
      <c r="A11" s="275">
        <v>43525</v>
      </c>
      <c r="B11" s="276" t="s">
        <v>1088</v>
      </c>
      <c r="C11" s="277" t="s">
        <v>1531</v>
      </c>
      <c r="D11" s="277" t="s">
        <v>1523</v>
      </c>
      <c r="E11" s="277" t="s">
        <v>1532</v>
      </c>
      <c r="F11" s="278">
        <v>20.87</v>
      </c>
      <c r="G11" s="272">
        <v>24</v>
      </c>
      <c r="H11" s="272">
        <v>1</v>
      </c>
      <c r="I11" s="272">
        <v>3.13</v>
      </c>
      <c r="J11" s="272">
        <v>24</v>
      </c>
      <c r="K11" s="277" t="s">
        <v>386</v>
      </c>
      <c r="L11" s="277" t="s">
        <v>1525</v>
      </c>
      <c r="M11" s="277" t="s">
        <v>1158</v>
      </c>
      <c r="N11" s="277" t="s">
        <v>1110</v>
      </c>
      <c r="O11" s="279" t="s">
        <v>1528</v>
      </c>
      <c r="P11" s="277" t="s">
        <v>134</v>
      </c>
      <c r="Q11" s="280" t="s">
        <v>473</v>
      </c>
    </row>
    <row r="12" spans="1:17" x14ac:dyDescent="0.2">
      <c r="A12" s="275">
        <v>43525</v>
      </c>
      <c r="B12" s="276" t="s">
        <v>1088</v>
      </c>
      <c r="C12" s="277" t="s">
        <v>1533</v>
      </c>
      <c r="D12" s="277" t="s">
        <v>1523</v>
      </c>
      <c r="E12" s="277" t="s">
        <v>1534</v>
      </c>
      <c r="F12" s="278">
        <v>73.040000000000006</v>
      </c>
      <c r="G12" s="272">
        <v>84</v>
      </c>
      <c r="H12" s="272">
        <v>1</v>
      </c>
      <c r="I12" s="272">
        <v>10.96</v>
      </c>
      <c r="J12" s="272">
        <v>84</v>
      </c>
      <c r="K12" s="277" t="s">
        <v>386</v>
      </c>
      <c r="L12" s="277" t="s">
        <v>1525</v>
      </c>
      <c r="M12" s="277" t="s">
        <v>1158</v>
      </c>
      <c r="N12" s="277" t="s">
        <v>1110</v>
      </c>
      <c r="O12" s="277" t="s">
        <v>1528</v>
      </c>
      <c r="P12" s="277" t="s">
        <v>134</v>
      </c>
      <c r="Q12" s="280" t="s">
        <v>473</v>
      </c>
    </row>
    <row r="13" spans="1:17" x14ac:dyDescent="0.2">
      <c r="A13" s="275">
        <v>43525</v>
      </c>
      <c r="B13" s="276" t="s">
        <v>1088</v>
      </c>
      <c r="C13" s="277" t="s">
        <v>1526</v>
      </c>
      <c r="D13" s="277" t="s">
        <v>1523</v>
      </c>
      <c r="E13" s="277" t="s">
        <v>1535</v>
      </c>
      <c r="F13" s="278">
        <v>42.26</v>
      </c>
      <c r="G13" s="278">
        <v>48.6</v>
      </c>
      <c r="H13" s="278">
        <v>1</v>
      </c>
      <c r="I13" s="278">
        <v>6.34</v>
      </c>
      <c r="J13" s="278">
        <v>48.6</v>
      </c>
      <c r="K13" s="277" t="s">
        <v>414</v>
      </c>
      <c r="L13" s="277" t="s">
        <v>1525</v>
      </c>
      <c r="M13" s="277" t="s">
        <v>1158</v>
      </c>
      <c r="N13" s="277" t="s">
        <v>1110</v>
      </c>
      <c r="O13" s="277" t="s">
        <v>1528</v>
      </c>
      <c r="P13" s="277" t="s">
        <v>134</v>
      </c>
    </row>
    <row r="14" spans="1:17" x14ac:dyDescent="0.2">
      <c r="A14" s="275">
        <v>43529</v>
      </c>
      <c r="B14" s="276" t="s">
        <v>1088</v>
      </c>
      <c r="C14" s="277" t="s">
        <v>1536</v>
      </c>
      <c r="D14" s="277" t="s">
        <v>1523</v>
      </c>
      <c r="E14" s="277" t="s">
        <v>1537</v>
      </c>
      <c r="F14" s="278">
        <v>178.44</v>
      </c>
      <c r="G14" s="272">
        <v>205.21</v>
      </c>
      <c r="H14" s="272">
        <v>1</v>
      </c>
      <c r="I14" s="272">
        <v>26.77</v>
      </c>
      <c r="J14" s="272">
        <v>205.21</v>
      </c>
      <c r="K14" s="277" t="s">
        <v>386</v>
      </c>
      <c r="L14" s="277" t="s">
        <v>1525</v>
      </c>
      <c r="M14" s="277" t="s">
        <v>1158</v>
      </c>
      <c r="N14" s="277" t="s">
        <v>1110</v>
      </c>
      <c r="O14" s="277" t="s">
        <v>1528</v>
      </c>
      <c r="P14" s="277" t="s">
        <v>134</v>
      </c>
      <c r="Q14" s="280" t="s">
        <v>473</v>
      </c>
    </row>
    <row r="15" spans="1:17" x14ac:dyDescent="0.2">
      <c r="A15" s="275">
        <v>43538</v>
      </c>
      <c r="B15" s="276" t="s">
        <v>1084</v>
      </c>
      <c r="C15" s="277" t="s">
        <v>1538</v>
      </c>
      <c r="D15" s="277" t="s">
        <v>1523</v>
      </c>
      <c r="E15" s="277" t="s">
        <v>1539</v>
      </c>
      <c r="F15" s="278">
        <v>10.87</v>
      </c>
      <c r="G15" s="272">
        <v>12.5</v>
      </c>
      <c r="H15" s="272">
        <v>1</v>
      </c>
      <c r="I15" s="272">
        <v>1.63</v>
      </c>
      <c r="J15" s="272">
        <v>12.5</v>
      </c>
      <c r="K15" s="277" t="s">
        <v>414</v>
      </c>
      <c r="L15" s="277" t="s">
        <v>1525</v>
      </c>
      <c r="M15" s="277" t="s">
        <v>1158</v>
      </c>
      <c r="N15" s="277" t="s">
        <v>1110</v>
      </c>
      <c r="O15" s="277" t="s">
        <v>1528</v>
      </c>
      <c r="P15" s="277" t="s">
        <v>134</v>
      </c>
      <c r="Q15" s="280" t="s">
        <v>473</v>
      </c>
    </row>
    <row r="16" spans="1:17" x14ac:dyDescent="0.2">
      <c r="A16" s="275">
        <v>43538</v>
      </c>
      <c r="B16" s="276" t="s">
        <v>1088</v>
      </c>
      <c r="C16" s="277" t="s">
        <v>1540</v>
      </c>
      <c r="D16" s="277" t="s">
        <v>1523</v>
      </c>
      <c r="E16" s="277" t="s">
        <v>1541</v>
      </c>
      <c r="F16" s="278">
        <v>8.6999999999999993</v>
      </c>
      <c r="G16" s="272">
        <v>10</v>
      </c>
      <c r="H16" s="272">
        <v>1</v>
      </c>
      <c r="I16" s="272">
        <v>1.3</v>
      </c>
      <c r="J16" s="272">
        <v>10</v>
      </c>
      <c r="K16" s="277" t="s">
        <v>414</v>
      </c>
      <c r="L16" s="277" t="s">
        <v>1525</v>
      </c>
      <c r="M16" s="277" t="s">
        <v>1158</v>
      </c>
      <c r="N16" s="277" t="s">
        <v>1110</v>
      </c>
      <c r="O16" s="277" t="s">
        <v>1528</v>
      </c>
      <c r="P16" s="277" t="s">
        <v>134</v>
      </c>
      <c r="Q16" s="280" t="s">
        <v>473</v>
      </c>
    </row>
    <row r="17" spans="1:17" x14ac:dyDescent="0.2">
      <c r="A17" s="275">
        <v>43538</v>
      </c>
      <c r="B17" s="276" t="s">
        <v>1088</v>
      </c>
      <c r="C17" s="277" t="s">
        <v>1542</v>
      </c>
      <c r="D17" s="277" t="s">
        <v>1523</v>
      </c>
      <c r="E17" s="277" t="s">
        <v>1543</v>
      </c>
      <c r="F17" s="278">
        <v>13.91</v>
      </c>
      <c r="G17" s="272">
        <v>16</v>
      </c>
      <c r="H17" s="272">
        <v>1</v>
      </c>
      <c r="I17" s="272">
        <v>2.09</v>
      </c>
      <c r="J17" s="272">
        <v>16</v>
      </c>
      <c r="K17" s="277" t="s">
        <v>414</v>
      </c>
      <c r="L17" s="277" t="s">
        <v>1525</v>
      </c>
      <c r="M17" s="277" t="s">
        <v>1158</v>
      </c>
      <c r="N17" s="277" t="s">
        <v>1110</v>
      </c>
      <c r="O17" s="277" t="s">
        <v>1528</v>
      </c>
      <c r="P17" s="277" t="s">
        <v>134</v>
      </c>
      <c r="Q17" s="280" t="s">
        <v>473</v>
      </c>
    </row>
    <row r="18" spans="1:17" x14ac:dyDescent="0.2">
      <c r="A18" s="275">
        <v>43538</v>
      </c>
      <c r="B18" s="276" t="s">
        <v>1088</v>
      </c>
      <c r="C18" s="277" t="s">
        <v>1533</v>
      </c>
      <c r="D18" s="277" t="s">
        <v>1523</v>
      </c>
      <c r="E18" s="277" t="s">
        <v>1544</v>
      </c>
      <c r="F18" s="278">
        <v>36.520000000000003</v>
      </c>
      <c r="G18" s="272">
        <v>42</v>
      </c>
      <c r="H18" s="272">
        <v>1</v>
      </c>
      <c r="I18" s="272">
        <v>5.48</v>
      </c>
      <c r="J18" s="272">
        <v>42</v>
      </c>
      <c r="K18" s="277" t="s">
        <v>414</v>
      </c>
      <c r="L18" s="277" t="s">
        <v>1525</v>
      </c>
      <c r="M18" s="277" t="s">
        <v>1158</v>
      </c>
      <c r="N18" s="277" t="s">
        <v>1110</v>
      </c>
      <c r="O18" s="277" t="s">
        <v>1528</v>
      </c>
      <c r="P18" s="277" t="s">
        <v>134</v>
      </c>
      <c r="Q18" s="280" t="s">
        <v>473</v>
      </c>
    </row>
    <row r="19" spans="1:17" x14ac:dyDescent="0.2">
      <c r="A19" s="275">
        <v>43538</v>
      </c>
      <c r="B19" s="276" t="s">
        <v>1088</v>
      </c>
      <c r="C19" s="277" t="s">
        <v>1526</v>
      </c>
      <c r="D19" s="277" t="s">
        <v>1523</v>
      </c>
      <c r="E19" s="277" t="s">
        <v>1544</v>
      </c>
      <c r="F19" s="278">
        <v>26.61</v>
      </c>
      <c r="G19" s="272">
        <v>30.6</v>
      </c>
      <c r="H19" s="272">
        <v>1</v>
      </c>
      <c r="I19" s="272">
        <v>3.99</v>
      </c>
      <c r="J19" s="272">
        <v>30.6</v>
      </c>
      <c r="K19" s="277" t="s">
        <v>414</v>
      </c>
      <c r="L19" s="277" t="s">
        <v>1525</v>
      </c>
      <c r="M19" s="277" t="s">
        <v>1158</v>
      </c>
      <c r="N19" s="277" t="s">
        <v>1110</v>
      </c>
      <c r="O19" s="277" t="s">
        <v>1528</v>
      </c>
      <c r="P19" s="277" t="s">
        <v>134</v>
      </c>
      <c r="Q19" s="280" t="s">
        <v>473</v>
      </c>
    </row>
    <row r="20" spans="1:17" x14ac:dyDescent="0.2">
      <c r="A20" s="281">
        <v>43547</v>
      </c>
      <c r="B20" s="282" t="s">
        <v>1088</v>
      </c>
      <c r="C20" s="283" t="s">
        <v>1545</v>
      </c>
      <c r="D20" s="283" t="s">
        <v>1523</v>
      </c>
      <c r="E20" s="283" t="s">
        <v>1546</v>
      </c>
      <c r="F20" s="284">
        <v>15.52</v>
      </c>
      <c r="G20" s="272">
        <v>15.52</v>
      </c>
      <c r="H20" s="272">
        <v>1</v>
      </c>
      <c r="I20" s="272">
        <v>0</v>
      </c>
      <c r="J20" s="272">
        <v>15.52</v>
      </c>
      <c r="K20" s="283" t="s">
        <v>398</v>
      </c>
      <c r="L20" s="283" t="s">
        <v>1525</v>
      </c>
      <c r="M20" s="283" t="s">
        <v>1158</v>
      </c>
      <c r="N20" s="283" t="s">
        <v>1110</v>
      </c>
      <c r="O20" s="283" t="s">
        <v>1547</v>
      </c>
      <c r="P20" s="283" t="s">
        <v>1548</v>
      </c>
      <c r="Q20" s="280" t="s">
        <v>473</v>
      </c>
    </row>
    <row r="21" spans="1:17" x14ac:dyDescent="0.2">
      <c r="A21" s="281">
        <v>43547</v>
      </c>
      <c r="B21" s="282" t="s">
        <v>1088</v>
      </c>
      <c r="C21" s="283" t="s">
        <v>1549</v>
      </c>
      <c r="D21" s="283" t="s">
        <v>1523</v>
      </c>
      <c r="E21" s="283" t="s">
        <v>1550</v>
      </c>
      <c r="F21" s="284">
        <v>35.479999999999997</v>
      </c>
      <c r="G21" s="272">
        <v>35.479999999999997</v>
      </c>
      <c r="H21" s="272">
        <v>1</v>
      </c>
      <c r="I21" s="272">
        <v>0</v>
      </c>
      <c r="J21" s="272">
        <v>35.479999999999997</v>
      </c>
      <c r="K21" s="283" t="s">
        <v>398</v>
      </c>
      <c r="L21" s="283" t="s">
        <v>1525</v>
      </c>
      <c r="M21" s="283" t="s">
        <v>1158</v>
      </c>
      <c r="N21" s="283" t="s">
        <v>1110</v>
      </c>
      <c r="O21" s="283" t="s">
        <v>1547</v>
      </c>
      <c r="P21" s="283" t="s">
        <v>1548</v>
      </c>
      <c r="Q21" s="280" t="s">
        <v>473</v>
      </c>
    </row>
    <row r="22" spans="1:17" x14ac:dyDescent="0.2">
      <c r="A22" s="281">
        <v>43547</v>
      </c>
      <c r="B22" s="282" t="s">
        <v>1088</v>
      </c>
      <c r="C22" s="283" t="s">
        <v>1551</v>
      </c>
      <c r="D22" s="283" t="s">
        <v>1523</v>
      </c>
      <c r="E22" s="283" t="s">
        <v>1552</v>
      </c>
      <c r="F22" s="284">
        <v>53.48</v>
      </c>
      <c r="G22" s="272">
        <v>53.48</v>
      </c>
      <c r="H22" s="272">
        <v>1</v>
      </c>
      <c r="I22" s="272">
        <v>0</v>
      </c>
      <c r="J22" s="272">
        <v>53.48</v>
      </c>
      <c r="K22" s="283" t="s">
        <v>1553</v>
      </c>
      <c r="L22" s="283" t="s">
        <v>1525</v>
      </c>
      <c r="M22" s="283" t="s">
        <v>1158</v>
      </c>
      <c r="N22" s="283" t="s">
        <v>1110</v>
      </c>
      <c r="O22" s="283" t="s">
        <v>1547</v>
      </c>
      <c r="P22" s="283" t="s">
        <v>1548</v>
      </c>
      <c r="Q22" s="280" t="s">
        <v>473</v>
      </c>
    </row>
    <row r="23" spans="1:17" x14ac:dyDescent="0.2">
      <c r="A23" s="281">
        <v>43547</v>
      </c>
      <c r="B23" s="282" t="s">
        <v>1088</v>
      </c>
      <c r="C23" s="283" t="s">
        <v>1554</v>
      </c>
      <c r="D23" s="283" t="s">
        <v>1523</v>
      </c>
      <c r="E23" s="283" t="s">
        <v>1555</v>
      </c>
      <c r="F23" s="284">
        <v>859.02</v>
      </c>
      <c r="G23" s="272">
        <v>859.02</v>
      </c>
      <c r="H23" s="272">
        <v>1</v>
      </c>
      <c r="I23" s="272">
        <v>0</v>
      </c>
      <c r="J23" s="272">
        <v>859.02</v>
      </c>
      <c r="K23" s="283" t="s">
        <v>1553</v>
      </c>
      <c r="L23" s="283" t="s">
        <v>1525</v>
      </c>
      <c r="M23" s="283" t="s">
        <v>1158</v>
      </c>
      <c r="N23" s="283" t="s">
        <v>1110</v>
      </c>
      <c r="O23" s="283" t="s">
        <v>1547</v>
      </c>
      <c r="P23" s="283" t="s">
        <v>1556</v>
      </c>
      <c r="Q23" s="280" t="s">
        <v>473</v>
      </c>
    </row>
    <row r="24" spans="1:17" x14ac:dyDescent="0.2">
      <c r="A24" s="281">
        <v>43548</v>
      </c>
      <c r="B24" s="282" t="s">
        <v>1088</v>
      </c>
      <c r="C24" s="283" t="s">
        <v>1557</v>
      </c>
      <c r="D24" s="283" t="s">
        <v>1523</v>
      </c>
      <c r="E24" s="283" t="s">
        <v>1558</v>
      </c>
      <c r="F24" s="284">
        <v>18.38</v>
      </c>
      <c r="G24" s="272">
        <v>18.38</v>
      </c>
      <c r="H24" s="272">
        <v>1</v>
      </c>
      <c r="I24" s="272">
        <v>0</v>
      </c>
      <c r="J24" s="272">
        <v>18.38</v>
      </c>
      <c r="K24" s="283" t="s">
        <v>1553</v>
      </c>
      <c r="L24" s="283" t="s">
        <v>1525</v>
      </c>
      <c r="M24" s="283" t="s">
        <v>1158</v>
      </c>
      <c r="N24" s="283" t="s">
        <v>1110</v>
      </c>
      <c r="O24" s="283" t="s">
        <v>1547</v>
      </c>
      <c r="P24" s="283" t="s">
        <v>1548</v>
      </c>
      <c r="Q24" s="280" t="s">
        <v>473</v>
      </c>
    </row>
    <row r="25" spans="1:17" x14ac:dyDescent="0.2">
      <c r="A25" s="281">
        <v>43548</v>
      </c>
      <c r="B25" s="282" t="s">
        <v>1088</v>
      </c>
      <c r="C25" s="283" t="s">
        <v>1559</v>
      </c>
      <c r="D25" s="283" t="s">
        <v>1523</v>
      </c>
      <c r="E25" s="283" t="s">
        <v>1560</v>
      </c>
      <c r="F25" s="284">
        <v>23.74</v>
      </c>
      <c r="G25" s="272">
        <v>23.74</v>
      </c>
      <c r="H25" s="272">
        <v>1</v>
      </c>
      <c r="I25" s="272">
        <v>0</v>
      </c>
      <c r="J25" s="272">
        <v>23.74</v>
      </c>
      <c r="K25" s="283" t="s">
        <v>1553</v>
      </c>
      <c r="L25" s="283" t="s">
        <v>1525</v>
      </c>
      <c r="M25" s="283" t="s">
        <v>1158</v>
      </c>
      <c r="N25" s="283" t="s">
        <v>1110</v>
      </c>
      <c r="O25" s="283" t="s">
        <v>1547</v>
      </c>
      <c r="P25" s="283" t="s">
        <v>1548</v>
      </c>
      <c r="Q25" s="280" t="s">
        <v>473</v>
      </c>
    </row>
    <row r="26" spans="1:17" x14ac:dyDescent="0.2">
      <c r="A26" s="269">
        <v>43548</v>
      </c>
      <c r="B26" s="270" t="s">
        <v>1088</v>
      </c>
      <c r="C26" s="271" t="s">
        <v>1561</v>
      </c>
      <c r="D26" s="271" t="s">
        <v>1523</v>
      </c>
      <c r="E26" s="271" t="s">
        <v>1562</v>
      </c>
      <c r="F26" s="272">
        <v>288.54000000000002</v>
      </c>
      <c r="G26" s="272">
        <v>288.54000000000002</v>
      </c>
      <c r="H26" s="272">
        <v>1</v>
      </c>
      <c r="I26" s="272">
        <v>0</v>
      </c>
      <c r="J26" s="272">
        <v>288.54000000000002</v>
      </c>
      <c r="K26" s="271" t="s">
        <v>1563</v>
      </c>
      <c r="L26" s="271" t="s">
        <v>1525</v>
      </c>
      <c r="M26" s="271" t="s">
        <v>1158</v>
      </c>
      <c r="N26" s="271" t="s">
        <v>1110</v>
      </c>
      <c r="O26" s="271" t="s">
        <v>1564</v>
      </c>
      <c r="P26" s="271" t="s">
        <v>1565</v>
      </c>
    </row>
    <row r="27" spans="1:17" x14ac:dyDescent="0.2">
      <c r="A27" s="281">
        <v>43549</v>
      </c>
      <c r="B27" s="282" t="s">
        <v>1088</v>
      </c>
      <c r="C27" s="283" t="s">
        <v>1566</v>
      </c>
      <c r="D27" s="283" t="s">
        <v>1523</v>
      </c>
      <c r="E27" s="283" t="s">
        <v>1567</v>
      </c>
      <c r="F27" s="284">
        <v>150.55000000000001</v>
      </c>
      <c r="G27" s="272">
        <v>150.55000000000001</v>
      </c>
      <c r="H27" s="272">
        <v>1</v>
      </c>
      <c r="I27" s="272">
        <v>0</v>
      </c>
      <c r="J27" s="272">
        <v>150.55000000000001</v>
      </c>
      <c r="K27" s="283" t="s">
        <v>1553</v>
      </c>
      <c r="L27" s="283" t="s">
        <v>1525</v>
      </c>
      <c r="M27" s="283" t="s">
        <v>1158</v>
      </c>
      <c r="N27" s="283" t="s">
        <v>1110</v>
      </c>
      <c r="O27" s="283" t="s">
        <v>1547</v>
      </c>
      <c r="P27" s="283" t="s">
        <v>1548</v>
      </c>
      <c r="Q27" s="280" t="s">
        <v>473</v>
      </c>
    </row>
    <row r="28" spans="1:17" x14ac:dyDescent="0.2">
      <c r="A28" s="281">
        <v>43553</v>
      </c>
      <c r="B28" s="282" t="s">
        <v>1088</v>
      </c>
      <c r="C28" s="283" t="s">
        <v>1568</v>
      </c>
      <c r="D28" s="283" t="s">
        <v>1523</v>
      </c>
      <c r="E28" s="283" t="s">
        <v>1569</v>
      </c>
      <c r="F28" s="284">
        <v>34.869999999999997</v>
      </c>
      <c r="G28" s="272">
        <v>40.1</v>
      </c>
      <c r="H28" s="272">
        <v>1</v>
      </c>
      <c r="I28" s="272">
        <v>5.23</v>
      </c>
      <c r="J28" s="272">
        <v>40.1</v>
      </c>
      <c r="K28" s="283" t="s">
        <v>398</v>
      </c>
      <c r="L28" s="283" t="s">
        <v>1525</v>
      </c>
      <c r="M28" s="283" t="s">
        <v>1158</v>
      </c>
      <c r="N28" s="283" t="s">
        <v>1110</v>
      </c>
      <c r="O28" s="283" t="s">
        <v>1547</v>
      </c>
      <c r="P28" s="283" t="s">
        <v>1548</v>
      </c>
      <c r="Q28" s="280" t="s">
        <v>473</v>
      </c>
    </row>
    <row r="29" spans="1:17" x14ac:dyDescent="0.2">
      <c r="A29" s="269">
        <v>43553</v>
      </c>
      <c r="B29" s="270" t="s">
        <v>1084</v>
      </c>
      <c r="C29" s="271" t="s">
        <v>1570</v>
      </c>
      <c r="D29" s="271" t="s">
        <v>1571</v>
      </c>
      <c r="E29" s="271" t="s">
        <v>1572</v>
      </c>
      <c r="F29" s="272">
        <v>884.5</v>
      </c>
      <c r="G29" s="272">
        <v>884.5</v>
      </c>
      <c r="H29" s="272">
        <v>1</v>
      </c>
      <c r="I29" s="272" t="s">
        <v>1571</v>
      </c>
      <c r="J29" s="272">
        <v>884.5</v>
      </c>
      <c r="K29" s="271" t="s">
        <v>1571</v>
      </c>
      <c r="L29" s="271" t="s">
        <v>1525</v>
      </c>
      <c r="M29" s="271" t="s">
        <v>1158</v>
      </c>
      <c r="N29" s="271" t="s">
        <v>1110</v>
      </c>
    </row>
    <row r="30" spans="1:17" x14ac:dyDescent="0.2">
      <c r="A30" s="269">
        <v>43560</v>
      </c>
      <c r="B30" s="270" t="s">
        <v>1084</v>
      </c>
      <c r="C30" s="271" t="s">
        <v>1538</v>
      </c>
      <c r="D30" s="271" t="s">
        <v>1571</v>
      </c>
      <c r="E30" s="271" t="s">
        <v>1573</v>
      </c>
      <c r="F30" s="272">
        <v>12.61</v>
      </c>
      <c r="G30" s="272">
        <v>14.5</v>
      </c>
      <c r="H30" s="272">
        <v>1</v>
      </c>
      <c r="I30" s="272">
        <v>1.89</v>
      </c>
      <c r="J30" s="272">
        <v>14.5</v>
      </c>
      <c r="K30" s="271" t="s">
        <v>1571</v>
      </c>
      <c r="L30" s="271" t="s">
        <v>1525</v>
      </c>
      <c r="M30" s="271" t="s">
        <v>1158</v>
      </c>
      <c r="N30" s="271" t="s">
        <v>1110</v>
      </c>
    </row>
    <row r="31" spans="1:17" x14ac:dyDescent="0.2">
      <c r="A31" s="269">
        <v>43560</v>
      </c>
      <c r="B31" s="270" t="s">
        <v>1084</v>
      </c>
      <c r="C31" s="271" t="s">
        <v>1533</v>
      </c>
      <c r="D31" s="271" t="s">
        <v>1571</v>
      </c>
      <c r="E31" s="271" t="s">
        <v>1574</v>
      </c>
      <c r="F31" s="272">
        <v>36.520000000000003</v>
      </c>
      <c r="G31" s="272">
        <v>42</v>
      </c>
      <c r="H31" s="272">
        <v>1</v>
      </c>
      <c r="I31" s="272">
        <v>5.48</v>
      </c>
      <c r="J31" s="272">
        <v>42</v>
      </c>
      <c r="K31" s="271" t="s">
        <v>1571</v>
      </c>
      <c r="L31" s="271" t="s">
        <v>1525</v>
      </c>
      <c r="M31" s="271" t="s">
        <v>1158</v>
      </c>
      <c r="N31" s="271" t="s">
        <v>1110</v>
      </c>
    </row>
    <row r="32" spans="1:17" x14ac:dyDescent="0.2">
      <c r="A32" s="269">
        <v>43567</v>
      </c>
      <c r="B32" s="270" t="s">
        <v>1084</v>
      </c>
      <c r="C32" s="271" t="s">
        <v>1533</v>
      </c>
      <c r="D32" s="271" t="s">
        <v>1571</v>
      </c>
      <c r="E32" s="271" t="s">
        <v>1574</v>
      </c>
      <c r="F32" s="272">
        <v>36.520000000000003</v>
      </c>
      <c r="G32" s="272">
        <v>42</v>
      </c>
      <c r="H32" s="272">
        <v>1</v>
      </c>
      <c r="I32" s="272">
        <v>5.48</v>
      </c>
      <c r="J32" s="272">
        <v>42</v>
      </c>
      <c r="K32" s="271" t="s">
        <v>1571</v>
      </c>
      <c r="L32" s="271" t="s">
        <v>1525</v>
      </c>
      <c r="M32" s="271" t="s">
        <v>1158</v>
      </c>
      <c r="N32" s="271" t="s">
        <v>1110</v>
      </c>
      <c r="P32" s="271" t="s">
        <v>1575</v>
      </c>
    </row>
    <row r="33" spans="1:16" x14ac:dyDescent="0.2">
      <c r="A33" s="269">
        <v>43567</v>
      </c>
      <c r="B33" s="270" t="s">
        <v>1084</v>
      </c>
      <c r="C33" s="271" t="s">
        <v>1576</v>
      </c>
      <c r="D33" s="271" t="s">
        <v>1571</v>
      </c>
      <c r="E33" s="271" t="s">
        <v>1577</v>
      </c>
      <c r="F33" s="272">
        <v>17.39</v>
      </c>
      <c r="G33" s="272">
        <v>20</v>
      </c>
      <c r="H33" s="272">
        <v>1</v>
      </c>
      <c r="I33" s="272">
        <v>2.61</v>
      </c>
      <c r="J33" s="272">
        <v>20</v>
      </c>
      <c r="K33" s="271" t="s">
        <v>1571</v>
      </c>
      <c r="L33" s="271" t="s">
        <v>1525</v>
      </c>
      <c r="M33" s="271" t="s">
        <v>1158</v>
      </c>
      <c r="N33" s="271" t="s">
        <v>1110</v>
      </c>
      <c r="P33" s="271" t="s">
        <v>1578</v>
      </c>
    </row>
    <row r="34" spans="1:16" x14ac:dyDescent="0.2">
      <c r="A34" s="269">
        <v>43572</v>
      </c>
      <c r="B34" s="270" t="s">
        <v>1084</v>
      </c>
      <c r="C34" s="271" t="s">
        <v>1579</v>
      </c>
      <c r="D34" s="271" t="s">
        <v>1571</v>
      </c>
      <c r="E34" s="271" t="s">
        <v>1580</v>
      </c>
      <c r="F34" s="272">
        <v>205.37</v>
      </c>
      <c r="G34" s="272">
        <v>236.18</v>
      </c>
      <c r="H34" s="272">
        <v>1</v>
      </c>
      <c r="I34" s="272">
        <v>30.81</v>
      </c>
      <c r="J34" s="272">
        <v>236.18</v>
      </c>
      <c r="K34" s="271" t="s">
        <v>1571</v>
      </c>
      <c r="L34" s="271" t="s">
        <v>1525</v>
      </c>
      <c r="M34" s="271" t="s">
        <v>1158</v>
      </c>
      <c r="N34" s="271" t="s">
        <v>1110</v>
      </c>
    </row>
    <row r="35" spans="1:16" x14ac:dyDescent="0.2">
      <c r="A35" s="269">
        <v>43581</v>
      </c>
      <c r="B35" s="270" t="s">
        <v>1084</v>
      </c>
      <c r="C35" s="271" t="s">
        <v>1581</v>
      </c>
      <c r="D35" s="271" t="s">
        <v>1571</v>
      </c>
      <c r="E35" s="271" t="s">
        <v>1582</v>
      </c>
      <c r="F35" s="272">
        <v>19.649999999999999</v>
      </c>
      <c r="G35" s="272">
        <v>22.6</v>
      </c>
      <c r="H35" s="272">
        <v>1</v>
      </c>
      <c r="I35" s="272">
        <v>2.95</v>
      </c>
      <c r="J35" s="272">
        <v>22.6</v>
      </c>
      <c r="K35" s="271" t="s">
        <v>1571</v>
      </c>
      <c r="L35" s="271" t="s">
        <v>1525</v>
      </c>
      <c r="M35" s="271" t="s">
        <v>1158</v>
      </c>
      <c r="N35" s="271" t="s">
        <v>1110</v>
      </c>
    </row>
    <row r="36" spans="1:16" x14ac:dyDescent="0.2">
      <c r="A36" s="269">
        <v>43583</v>
      </c>
      <c r="B36" s="270" t="s">
        <v>1084</v>
      </c>
      <c r="C36" s="271" t="s">
        <v>1583</v>
      </c>
      <c r="D36" s="271" t="s">
        <v>1571</v>
      </c>
      <c r="E36" s="271" t="s">
        <v>1584</v>
      </c>
      <c r="F36" s="272">
        <v>69.81</v>
      </c>
      <c r="G36" s="272">
        <v>69.81</v>
      </c>
      <c r="H36" s="272">
        <v>1</v>
      </c>
      <c r="I36" s="272" t="s">
        <v>1571</v>
      </c>
      <c r="J36" s="272">
        <v>69.81</v>
      </c>
      <c r="K36" s="271" t="s">
        <v>1571</v>
      </c>
      <c r="L36" s="271" t="s">
        <v>1525</v>
      </c>
      <c r="M36" s="271" t="s">
        <v>1158</v>
      </c>
      <c r="N36" s="271" t="s">
        <v>1110</v>
      </c>
    </row>
    <row r="38" spans="1:16" x14ac:dyDescent="0.2">
      <c r="E38" s="273" t="s">
        <v>1585</v>
      </c>
      <c r="F38" s="264">
        <f>SUBTOTAL(109,F8:F37)</f>
        <v>3203.43</v>
      </c>
      <c r="G38" s="264"/>
    </row>
    <row r="48" spans="1:16" ht="31.5" x14ac:dyDescent="0.5">
      <c r="A48" s="265" t="s">
        <v>1511</v>
      </c>
    </row>
    <row r="50" spans="1:17" ht="18" x14ac:dyDescent="0.3">
      <c r="A50" s="266" t="s">
        <v>1586</v>
      </c>
    </row>
    <row r="52" spans="1:17" ht="15.75" x14ac:dyDescent="0.25">
      <c r="A52" s="267" t="s">
        <v>55</v>
      </c>
    </row>
    <row r="53" spans="1:17" x14ac:dyDescent="0.2">
      <c r="F53">
        <f>SUBTOTAL(109,F55:F81)</f>
        <v>6404.6100000000006</v>
      </c>
    </row>
    <row r="54" spans="1:17" ht="25.5" x14ac:dyDescent="0.2">
      <c r="A54" s="268" t="s">
        <v>1513</v>
      </c>
      <c r="B54" s="268" t="s">
        <v>1514</v>
      </c>
      <c r="C54" s="268" t="s">
        <v>1515</v>
      </c>
      <c r="D54" s="268" t="s">
        <v>1516</v>
      </c>
      <c r="E54" s="268" t="s">
        <v>1517</v>
      </c>
      <c r="F54" s="268" t="s">
        <v>1518</v>
      </c>
      <c r="G54" s="268" t="s">
        <v>305</v>
      </c>
      <c r="H54" s="268" t="s">
        <v>1519</v>
      </c>
      <c r="I54" s="268" t="s">
        <v>1520</v>
      </c>
      <c r="J54" s="268" t="s">
        <v>1521</v>
      </c>
      <c r="K54" s="268" t="s">
        <v>1113</v>
      </c>
      <c r="L54" s="268" t="s">
        <v>299</v>
      </c>
      <c r="M54" s="268" t="s">
        <v>1025</v>
      </c>
      <c r="N54" s="268" t="s">
        <v>1081</v>
      </c>
      <c r="O54" s="207" t="s">
        <v>1479</v>
      </c>
      <c r="P54" s="207" t="s">
        <v>1480</v>
      </c>
    </row>
    <row r="55" spans="1:17" x14ac:dyDescent="0.2">
      <c r="A55" s="269">
        <v>43553</v>
      </c>
      <c r="B55" s="270" t="s">
        <v>1088</v>
      </c>
      <c r="C55" s="271" t="s">
        <v>1570</v>
      </c>
      <c r="D55" s="271" t="s">
        <v>1523</v>
      </c>
      <c r="E55" s="271" t="s">
        <v>1587</v>
      </c>
      <c r="F55" s="272">
        <v>884.5</v>
      </c>
      <c r="G55" s="272">
        <v>884.5</v>
      </c>
      <c r="H55" s="272">
        <v>1</v>
      </c>
      <c r="I55" s="272">
        <v>0</v>
      </c>
      <c r="J55" s="272">
        <v>884.5</v>
      </c>
      <c r="K55" s="271" t="s">
        <v>1553</v>
      </c>
      <c r="L55" s="271" t="s">
        <v>1525</v>
      </c>
      <c r="M55" s="271" t="s">
        <v>1158</v>
      </c>
      <c r="N55" s="271" t="s">
        <v>1258</v>
      </c>
      <c r="O55" s="271" t="s">
        <v>1588</v>
      </c>
      <c r="P55" t="s">
        <v>1589</v>
      </c>
      <c r="Q55" s="280" t="s">
        <v>473</v>
      </c>
    </row>
    <row r="56" spans="1:17" x14ac:dyDescent="0.2">
      <c r="A56" s="269">
        <v>43560</v>
      </c>
      <c r="B56" s="270" t="s">
        <v>1084</v>
      </c>
      <c r="C56" s="271" t="s">
        <v>1538</v>
      </c>
      <c r="D56" s="271" t="s">
        <v>1523</v>
      </c>
      <c r="E56" s="271" t="s">
        <v>1590</v>
      </c>
      <c r="F56" s="272">
        <v>12.61</v>
      </c>
      <c r="G56" s="272">
        <v>14.5</v>
      </c>
      <c r="H56" s="272">
        <v>1</v>
      </c>
      <c r="I56" s="272">
        <v>1.89</v>
      </c>
      <c r="J56" s="272">
        <v>14.5</v>
      </c>
      <c r="K56" s="271" t="s">
        <v>398</v>
      </c>
      <c r="L56" s="271" t="s">
        <v>1525</v>
      </c>
      <c r="M56" s="271" t="s">
        <v>1158</v>
      </c>
      <c r="N56" s="271" t="s">
        <v>1133</v>
      </c>
      <c r="O56" s="271" t="s">
        <v>1528</v>
      </c>
      <c r="P56" s="271" t="s">
        <v>134</v>
      </c>
      <c r="Q56" s="280" t="s">
        <v>473</v>
      </c>
    </row>
    <row r="57" spans="1:17" x14ac:dyDescent="0.2">
      <c r="A57" s="269">
        <v>43560</v>
      </c>
      <c r="B57" s="270" t="s">
        <v>1088</v>
      </c>
      <c r="C57" s="271" t="s">
        <v>1533</v>
      </c>
      <c r="D57" s="271" t="s">
        <v>1523</v>
      </c>
      <c r="E57" s="271" t="s">
        <v>1591</v>
      </c>
      <c r="F57" s="272">
        <v>36.520000000000003</v>
      </c>
      <c r="G57" s="272">
        <v>42</v>
      </c>
      <c r="H57" s="272">
        <v>1</v>
      </c>
      <c r="I57" s="272">
        <v>5.48</v>
      </c>
      <c r="J57" s="272">
        <v>42</v>
      </c>
      <c r="K57" s="271" t="s">
        <v>398</v>
      </c>
      <c r="L57" s="271" t="s">
        <v>1525</v>
      </c>
      <c r="M57" s="271" t="s">
        <v>1158</v>
      </c>
      <c r="N57" s="271" t="s">
        <v>1110</v>
      </c>
      <c r="O57" s="271" t="s">
        <v>1528</v>
      </c>
      <c r="P57" s="271" t="s">
        <v>134</v>
      </c>
      <c r="Q57" s="280" t="s">
        <v>473</v>
      </c>
    </row>
    <row r="58" spans="1:17" x14ac:dyDescent="0.2">
      <c r="A58" s="269">
        <v>43567</v>
      </c>
      <c r="B58" s="270" t="s">
        <v>1084</v>
      </c>
      <c r="C58" s="271" t="s">
        <v>1533</v>
      </c>
      <c r="D58" s="271" t="s">
        <v>1523</v>
      </c>
      <c r="E58" s="271" t="s">
        <v>1592</v>
      </c>
      <c r="F58" s="272">
        <v>36.520000000000003</v>
      </c>
      <c r="G58" s="272">
        <v>42</v>
      </c>
      <c r="H58" s="272">
        <v>1</v>
      </c>
      <c r="I58" s="272">
        <v>5.48</v>
      </c>
      <c r="J58" s="272">
        <v>42</v>
      </c>
      <c r="K58" s="271" t="s">
        <v>398</v>
      </c>
      <c r="L58" s="271" t="s">
        <v>1525</v>
      </c>
      <c r="M58" s="271" t="s">
        <v>1158</v>
      </c>
      <c r="N58" s="271" t="s">
        <v>1110</v>
      </c>
      <c r="O58" s="271" t="s">
        <v>1528</v>
      </c>
      <c r="P58" s="271" t="s">
        <v>1593</v>
      </c>
      <c r="Q58" s="280" t="s">
        <v>473</v>
      </c>
    </row>
    <row r="59" spans="1:17" x14ac:dyDescent="0.2">
      <c r="A59" s="269">
        <v>43567</v>
      </c>
      <c r="B59" s="270" t="s">
        <v>1088</v>
      </c>
      <c r="C59" s="271" t="s">
        <v>1576</v>
      </c>
      <c r="D59" s="271" t="s">
        <v>1523</v>
      </c>
      <c r="E59" s="271" t="s">
        <v>1594</v>
      </c>
      <c r="F59" s="272">
        <v>17.39</v>
      </c>
      <c r="G59" s="272">
        <v>20</v>
      </c>
      <c r="H59" s="272">
        <v>1</v>
      </c>
      <c r="I59" s="272">
        <v>2.61</v>
      </c>
      <c r="J59" s="272">
        <v>20</v>
      </c>
      <c r="K59" s="271" t="s">
        <v>1553</v>
      </c>
      <c r="L59" s="271" t="s">
        <v>1525</v>
      </c>
      <c r="M59" s="271" t="s">
        <v>1158</v>
      </c>
      <c r="N59" s="271" t="s">
        <v>493</v>
      </c>
      <c r="O59" s="271" t="s">
        <v>1528</v>
      </c>
      <c r="P59" s="271" t="s">
        <v>1593</v>
      </c>
      <c r="Q59" s="280" t="s">
        <v>473</v>
      </c>
    </row>
    <row r="60" spans="1:17" x14ac:dyDescent="0.2">
      <c r="A60" s="269">
        <v>43572</v>
      </c>
      <c r="B60" s="270" t="s">
        <v>1088</v>
      </c>
      <c r="C60" s="271" t="s">
        <v>1579</v>
      </c>
      <c r="D60" s="271" t="s">
        <v>1523</v>
      </c>
      <c r="E60" s="271" t="s">
        <v>1595</v>
      </c>
      <c r="F60" s="272">
        <v>205.37</v>
      </c>
      <c r="G60" s="272">
        <v>236.18</v>
      </c>
      <c r="H60" s="272">
        <v>1</v>
      </c>
      <c r="I60" s="272">
        <v>30.81</v>
      </c>
      <c r="J60" s="272">
        <v>236.18</v>
      </c>
      <c r="K60" s="271" t="s">
        <v>386</v>
      </c>
      <c r="L60" s="271" t="s">
        <v>1525</v>
      </c>
      <c r="M60" s="271" t="s">
        <v>1158</v>
      </c>
      <c r="N60" s="271" t="s">
        <v>493</v>
      </c>
      <c r="O60" s="271" t="s">
        <v>1528</v>
      </c>
      <c r="P60" s="271" t="s">
        <v>1593</v>
      </c>
      <c r="Q60" s="280" t="s">
        <v>473</v>
      </c>
    </row>
    <row r="61" spans="1:17" x14ac:dyDescent="0.2">
      <c r="A61" s="269">
        <v>43581</v>
      </c>
      <c r="B61" s="270" t="s">
        <v>1088</v>
      </c>
      <c r="C61" s="271" t="s">
        <v>1581</v>
      </c>
      <c r="D61" s="271" t="s">
        <v>1523</v>
      </c>
      <c r="E61" s="271" t="s">
        <v>1596</v>
      </c>
      <c r="F61" s="272">
        <v>19.649999999999999</v>
      </c>
      <c r="G61" s="272">
        <v>22.6</v>
      </c>
      <c r="H61" s="272">
        <v>1</v>
      </c>
      <c r="I61" s="272">
        <v>2.95</v>
      </c>
      <c r="J61" s="272">
        <v>22.6</v>
      </c>
      <c r="K61" s="271" t="s">
        <v>414</v>
      </c>
      <c r="L61" s="271" t="s">
        <v>1525</v>
      </c>
      <c r="M61" s="271" t="s">
        <v>1158</v>
      </c>
      <c r="N61" s="271" t="s">
        <v>1110</v>
      </c>
      <c r="O61" s="271" t="s">
        <v>1597</v>
      </c>
      <c r="P61" s="271" t="s">
        <v>137</v>
      </c>
      <c r="Q61" s="280" t="s">
        <v>473</v>
      </c>
    </row>
    <row r="62" spans="1:17" x14ac:dyDescent="0.2">
      <c r="A62" s="269">
        <v>43583</v>
      </c>
      <c r="B62" s="270" t="s">
        <v>1084</v>
      </c>
      <c r="C62" s="271" t="s">
        <v>1583</v>
      </c>
      <c r="D62" s="271" t="s">
        <v>1523</v>
      </c>
      <c r="E62" s="271" t="s">
        <v>1598</v>
      </c>
      <c r="F62" s="272">
        <v>69.81</v>
      </c>
      <c r="G62" s="272">
        <v>69.81</v>
      </c>
      <c r="H62" s="272">
        <v>1</v>
      </c>
      <c r="I62" s="272">
        <v>0</v>
      </c>
      <c r="J62" s="272">
        <v>69.81</v>
      </c>
      <c r="K62" s="271" t="s">
        <v>440</v>
      </c>
      <c r="L62" s="271" t="s">
        <v>1525</v>
      </c>
      <c r="M62" s="271" t="s">
        <v>1158</v>
      </c>
      <c r="N62" s="271" t="s">
        <v>1248</v>
      </c>
      <c r="O62" s="271" t="s">
        <v>1588</v>
      </c>
      <c r="P62" s="271" t="s">
        <v>1599</v>
      </c>
      <c r="Q62" s="280" t="s">
        <v>473</v>
      </c>
    </row>
    <row r="63" spans="1:17" x14ac:dyDescent="0.2">
      <c r="A63" s="269">
        <v>43587</v>
      </c>
      <c r="B63" s="270" t="s">
        <v>1088</v>
      </c>
      <c r="C63" s="271" t="s">
        <v>1600</v>
      </c>
      <c r="D63" s="271" t="s">
        <v>1523</v>
      </c>
      <c r="E63" s="271" t="s">
        <v>1601</v>
      </c>
      <c r="F63" s="272">
        <v>10.43</v>
      </c>
      <c r="G63" s="272">
        <v>12</v>
      </c>
      <c r="H63" s="272">
        <v>1</v>
      </c>
      <c r="I63" s="272">
        <v>1.57</v>
      </c>
      <c r="J63" s="272">
        <v>12</v>
      </c>
      <c r="K63" s="271" t="s">
        <v>1602</v>
      </c>
      <c r="L63" s="271" t="s">
        <v>1525</v>
      </c>
      <c r="M63" s="271" t="s">
        <v>1158</v>
      </c>
      <c r="N63" s="271" t="s">
        <v>1110</v>
      </c>
      <c r="O63" t="s">
        <v>24</v>
      </c>
      <c r="P63" s="271" t="s">
        <v>137</v>
      </c>
      <c r="Q63" s="280" t="s">
        <v>473</v>
      </c>
    </row>
    <row r="64" spans="1:17" x14ac:dyDescent="0.2">
      <c r="A64" s="269">
        <v>43590</v>
      </c>
      <c r="B64" s="270" t="s">
        <v>1088</v>
      </c>
      <c r="C64" s="271" t="s">
        <v>1603</v>
      </c>
      <c r="D64" s="271" t="s">
        <v>1523</v>
      </c>
      <c r="E64" s="271" t="s">
        <v>1604</v>
      </c>
      <c r="F64" s="272">
        <v>632.07000000000005</v>
      </c>
      <c r="G64" s="272">
        <v>632.07000000000005</v>
      </c>
      <c r="H64" s="272">
        <v>1</v>
      </c>
      <c r="I64" s="272">
        <v>0</v>
      </c>
      <c r="J64" s="272">
        <v>632.07000000000005</v>
      </c>
      <c r="K64" s="271" t="s">
        <v>1553</v>
      </c>
      <c r="L64" s="271" t="s">
        <v>1525</v>
      </c>
      <c r="M64" s="271" t="s">
        <v>1158</v>
      </c>
      <c r="N64" s="271" t="s">
        <v>1605</v>
      </c>
      <c r="O64" s="271" t="s">
        <v>1588</v>
      </c>
      <c r="P64" s="271" t="s">
        <v>1606</v>
      </c>
      <c r="Q64" s="280" t="s">
        <v>473</v>
      </c>
    </row>
    <row r="65" spans="1:17" x14ac:dyDescent="0.2">
      <c r="A65" s="269">
        <v>43593</v>
      </c>
      <c r="B65" s="270" t="s">
        <v>1088</v>
      </c>
      <c r="C65" s="271" t="s">
        <v>1603</v>
      </c>
      <c r="D65" s="271" t="s">
        <v>1523</v>
      </c>
      <c r="E65" s="271" t="s">
        <v>1607</v>
      </c>
      <c r="F65" s="272">
        <v>13.95</v>
      </c>
      <c r="G65" s="272">
        <v>13.95</v>
      </c>
      <c r="H65" s="272">
        <v>1</v>
      </c>
      <c r="I65" s="272">
        <v>0</v>
      </c>
      <c r="J65" s="272">
        <v>13.95</v>
      </c>
      <c r="K65" s="271" t="s">
        <v>1553</v>
      </c>
      <c r="L65" s="271" t="s">
        <v>1525</v>
      </c>
      <c r="M65" s="271" t="s">
        <v>1158</v>
      </c>
      <c r="N65" s="271" t="s">
        <v>1605</v>
      </c>
      <c r="O65" s="271" t="s">
        <v>1588</v>
      </c>
      <c r="P65" s="271" t="s">
        <v>1606</v>
      </c>
      <c r="Q65" s="280" t="s">
        <v>473</v>
      </c>
    </row>
    <row r="66" spans="1:17" x14ac:dyDescent="0.2">
      <c r="A66" s="269">
        <v>43593</v>
      </c>
      <c r="B66" s="270" t="s">
        <v>1088</v>
      </c>
      <c r="C66" s="271" t="s">
        <v>1608</v>
      </c>
      <c r="D66" s="271" t="s">
        <v>1523</v>
      </c>
      <c r="E66" s="271" t="s">
        <v>1609</v>
      </c>
      <c r="F66" s="272">
        <v>448.64</v>
      </c>
      <c r="G66" s="272">
        <v>448.64</v>
      </c>
      <c r="H66" s="272">
        <v>1</v>
      </c>
      <c r="I66" s="272">
        <v>0</v>
      </c>
      <c r="J66" s="272">
        <v>448.64</v>
      </c>
      <c r="K66" s="271" t="s">
        <v>1553</v>
      </c>
      <c r="L66" s="271" t="s">
        <v>1525</v>
      </c>
      <c r="M66" s="271" t="s">
        <v>1158</v>
      </c>
      <c r="N66" s="271" t="s">
        <v>1605</v>
      </c>
      <c r="O66" s="271" t="s">
        <v>1588</v>
      </c>
      <c r="P66" s="271" t="s">
        <v>1610</v>
      </c>
      <c r="Q66" s="280" t="s">
        <v>473</v>
      </c>
    </row>
    <row r="67" spans="1:17" x14ac:dyDescent="0.2">
      <c r="A67" s="269">
        <v>43595</v>
      </c>
      <c r="B67" s="270" t="s">
        <v>1088</v>
      </c>
      <c r="C67" s="271" t="s">
        <v>1611</v>
      </c>
      <c r="D67" s="271" t="s">
        <v>1523</v>
      </c>
      <c r="E67" s="271" t="s">
        <v>1612</v>
      </c>
      <c r="F67" s="272">
        <v>7.32</v>
      </c>
      <c r="G67" s="272">
        <v>7.32</v>
      </c>
      <c r="H67" s="272">
        <v>1</v>
      </c>
      <c r="I67" s="272">
        <v>0</v>
      </c>
      <c r="J67" s="272">
        <v>7.32</v>
      </c>
      <c r="K67" s="271" t="s">
        <v>1553</v>
      </c>
      <c r="L67" s="271" t="s">
        <v>1525</v>
      </c>
      <c r="M67" s="271" t="s">
        <v>1158</v>
      </c>
      <c r="N67" s="271" t="s">
        <v>1605</v>
      </c>
      <c r="O67" s="271" t="s">
        <v>1588</v>
      </c>
      <c r="P67" s="271" t="s">
        <v>1610</v>
      </c>
      <c r="Q67" s="280" t="s">
        <v>473</v>
      </c>
    </row>
    <row r="68" spans="1:17" x14ac:dyDescent="0.2">
      <c r="A68" s="269">
        <v>43596</v>
      </c>
      <c r="B68" s="270" t="s">
        <v>1088</v>
      </c>
      <c r="C68" s="271" t="s">
        <v>1613</v>
      </c>
      <c r="D68" s="271" t="s">
        <v>1523</v>
      </c>
      <c r="E68" s="271" t="s">
        <v>1614</v>
      </c>
      <c r="F68" s="272">
        <v>22.98</v>
      </c>
      <c r="G68" s="272">
        <v>26.43</v>
      </c>
      <c r="H68" s="272">
        <v>1</v>
      </c>
      <c r="I68" s="272">
        <v>3.45</v>
      </c>
      <c r="J68" s="272">
        <v>26.43</v>
      </c>
      <c r="K68" s="271" t="s">
        <v>1553</v>
      </c>
      <c r="L68" s="271" t="s">
        <v>1525</v>
      </c>
      <c r="M68" s="271" t="s">
        <v>1158</v>
      </c>
      <c r="N68" s="271" t="s">
        <v>1110</v>
      </c>
      <c r="O68" s="271" t="s">
        <v>1588</v>
      </c>
      <c r="P68" s="271" t="s">
        <v>1606</v>
      </c>
      <c r="Q68" s="280" t="s">
        <v>473</v>
      </c>
    </row>
    <row r="69" spans="1:17" x14ac:dyDescent="0.2">
      <c r="A69" s="269">
        <v>43610</v>
      </c>
      <c r="B69" s="270" t="s">
        <v>1088</v>
      </c>
      <c r="C69" s="271" t="s">
        <v>1615</v>
      </c>
      <c r="D69" s="271" t="s">
        <v>1523</v>
      </c>
      <c r="E69" s="271" t="s">
        <v>1616</v>
      </c>
      <c r="F69" s="272">
        <v>22.73</v>
      </c>
      <c r="G69" s="272">
        <v>22.73</v>
      </c>
      <c r="H69" s="272">
        <v>1</v>
      </c>
      <c r="I69" s="272">
        <v>0</v>
      </c>
      <c r="J69" s="272">
        <v>22.73</v>
      </c>
      <c r="K69" s="271" t="s">
        <v>398</v>
      </c>
      <c r="L69" s="271" t="s">
        <v>1525</v>
      </c>
      <c r="M69" s="271" t="s">
        <v>1158</v>
      </c>
      <c r="N69" s="271" t="s">
        <v>1248</v>
      </c>
      <c r="O69" s="271" t="s">
        <v>1588</v>
      </c>
      <c r="P69" s="271" t="s">
        <v>1599</v>
      </c>
      <c r="Q69" s="280" t="s">
        <v>473</v>
      </c>
    </row>
    <row r="70" spans="1:17" x14ac:dyDescent="0.2">
      <c r="A70" s="269">
        <v>43610</v>
      </c>
      <c r="B70" s="270" t="s">
        <v>1088</v>
      </c>
      <c r="C70" s="271" t="s">
        <v>1617</v>
      </c>
      <c r="D70" s="271" t="s">
        <v>1523</v>
      </c>
      <c r="E70" s="271" t="s">
        <v>1618</v>
      </c>
      <c r="F70" s="272">
        <v>14.47</v>
      </c>
      <c r="G70" s="272">
        <v>14.47</v>
      </c>
      <c r="H70" s="272">
        <v>1</v>
      </c>
      <c r="I70" s="272">
        <v>0</v>
      </c>
      <c r="J70" s="272">
        <v>14.47</v>
      </c>
      <c r="K70" s="271" t="s">
        <v>1553</v>
      </c>
      <c r="L70" s="271" t="s">
        <v>1525</v>
      </c>
      <c r="M70" s="271" t="s">
        <v>1158</v>
      </c>
      <c r="N70" s="271" t="s">
        <v>1248</v>
      </c>
      <c r="O70" s="271" t="s">
        <v>1588</v>
      </c>
      <c r="P70" s="271" t="s">
        <v>1599</v>
      </c>
      <c r="Q70" s="280" t="s">
        <v>473</v>
      </c>
    </row>
    <row r="71" spans="1:17" x14ac:dyDescent="0.2">
      <c r="A71" s="269">
        <v>43616</v>
      </c>
      <c r="B71" s="270" t="s">
        <v>1088</v>
      </c>
      <c r="C71" s="271" t="s">
        <v>1619</v>
      </c>
      <c r="D71" s="271" t="s">
        <v>1523</v>
      </c>
      <c r="E71" s="271" t="s">
        <v>1620</v>
      </c>
      <c r="F71" s="288">
        <v>3517.82</v>
      </c>
      <c r="G71" s="288">
        <v>3517.82</v>
      </c>
      <c r="H71" s="272">
        <v>1</v>
      </c>
      <c r="I71" s="272">
        <v>0</v>
      </c>
      <c r="J71" s="288">
        <v>3517.82</v>
      </c>
      <c r="K71" s="271" t="s">
        <v>1553</v>
      </c>
      <c r="L71" s="271" t="s">
        <v>1525</v>
      </c>
      <c r="M71" s="271" t="s">
        <v>1158</v>
      </c>
      <c r="N71" s="271" t="s">
        <v>1248</v>
      </c>
      <c r="O71" s="271" t="s">
        <v>1588</v>
      </c>
      <c r="P71" s="271" t="s">
        <v>1599</v>
      </c>
      <c r="Q71" s="280" t="s">
        <v>473</v>
      </c>
    </row>
    <row r="72" spans="1:17" x14ac:dyDescent="0.2">
      <c r="A72" s="269">
        <v>43620</v>
      </c>
      <c r="B72" s="270" t="s">
        <v>1088</v>
      </c>
      <c r="C72" s="271" t="s">
        <v>1621</v>
      </c>
      <c r="D72" s="271" t="s">
        <v>1523</v>
      </c>
      <c r="E72" s="271" t="s">
        <v>1205</v>
      </c>
      <c r="F72" s="272">
        <v>20.87</v>
      </c>
      <c r="G72" s="272">
        <v>24</v>
      </c>
      <c r="H72" s="272">
        <v>1</v>
      </c>
      <c r="I72" s="272">
        <v>3.13</v>
      </c>
      <c r="J72" s="272">
        <v>24</v>
      </c>
      <c r="K72" s="271" t="s">
        <v>386</v>
      </c>
      <c r="L72" s="271" t="s">
        <v>1525</v>
      </c>
      <c r="M72" s="271" t="s">
        <v>1158</v>
      </c>
      <c r="N72" s="271" t="s">
        <v>1133</v>
      </c>
      <c r="O72" s="271" t="s">
        <v>1528</v>
      </c>
      <c r="P72" s="271" t="s">
        <v>134</v>
      </c>
      <c r="Q72" s="280" t="s">
        <v>473</v>
      </c>
    </row>
    <row r="73" spans="1:17" x14ac:dyDescent="0.2">
      <c r="A73" s="269">
        <v>43621</v>
      </c>
      <c r="B73" s="270" t="s">
        <v>1088</v>
      </c>
      <c r="C73" s="271" t="s">
        <v>1622</v>
      </c>
      <c r="D73" s="271" t="s">
        <v>1523</v>
      </c>
      <c r="E73" s="271" t="s">
        <v>1623</v>
      </c>
      <c r="F73" s="272">
        <v>11.04</v>
      </c>
      <c r="G73" s="272">
        <v>12.7</v>
      </c>
      <c r="H73" s="272">
        <v>1</v>
      </c>
      <c r="I73" s="272">
        <v>1.66</v>
      </c>
      <c r="J73" s="272">
        <v>12.7</v>
      </c>
      <c r="K73" s="271" t="s">
        <v>386</v>
      </c>
      <c r="L73" s="271" t="s">
        <v>1525</v>
      </c>
      <c r="M73" s="271" t="s">
        <v>1158</v>
      </c>
      <c r="N73" s="271" t="s">
        <v>1133</v>
      </c>
      <c r="O73" s="271" t="s">
        <v>1528</v>
      </c>
      <c r="P73" s="271" t="s">
        <v>134</v>
      </c>
      <c r="Q73" s="280" t="s">
        <v>473</v>
      </c>
    </row>
    <row r="74" spans="1:17" x14ac:dyDescent="0.2">
      <c r="A74" s="269">
        <v>43621</v>
      </c>
      <c r="B74" s="270" t="s">
        <v>1088</v>
      </c>
      <c r="C74" s="271" t="s">
        <v>1531</v>
      </c>
      <c r="D74" s="271" t="s">
        <v>1523</v>
      </c>
      <c r="E74" s="271" t="s">
        <v>1624</v>
      </c>
      <c r="F74" s="272">
        <v>15.3</v>
      </c>
      <c r="G74" s="272">
        <v>17.600000000000001</v>
      </c>
      <c r="H74" s="272">
        <v>1</v>
      </c>
      <c r="I74" s="272">
        <v>2.2999999999999998</v>
      </c>
      <c r="J74" s="272">
        <v>17.600000000000001</v>
      </c>
      <c r="K74" s="271" t="s">
        <v>344</v>
      </c>
      <c r="L74" s="271" t="s">
        <v>1525</v>
      </c>
      <c r="M74" s="271" t="s">
        <v>1158</v>
      </c>
      <c r="N74" s="271" t="s">
        <v>1133</v>
      </c>
      <c r="O74" s="271" t="s">
        <v>24</v>
      </c>
      <c r="P74" s="271" t="s">
        <v>134</v>
      </c>
      <c r="Q74" s="280" t="s">
        <v>473</v>
      </c>
    </row>
    <row r="75" spans="1:17" x14ac:dyDescent="0.2">
      <c r="A75" s="269">
        <v>43621</v>
      </c>
      <c r="B75" s="270" t="s">
        <v>1088</v>
      </c>
      <c r="C75" s="271" t="s">
        <v>1531</v>
      </c>
      <c r="D75" s="271" t="s">
        <v>1523</v>
      </c>
      <c r="E75" s="271" t="s">
        <v>1625</v>
      </c>
      <c r="F75" s="272">
        <v>20</v>
      </c>
      <c r="G75" s="272">
        <v>23</v>
      </c>
      <c r="H75" s="272">
        <v>1</v>
      </c>
      <c r="I75" s="272">
        <v>3</v>
      </c>
      <c r="J75" s="272">
        <v>23</v>
      </c>
      <c r="K75" s="271" t="s">
        <v>386</v>
      </c>
      <c r="L75" s="271" t="s">
        <v>1525</v>
      </c>
      <c r="M75" s="271" t="s">
        <v>1158</v>
      </c>
      <c r="N75" s="271" t="s">
        <v>1133</v>
      </c>
      <c r="O75" s="271" t="s">
        <v>1528</v>
      </c>
      <c r="P75" s="271" t="s">
        <v>134</v>
      </c>
      <c r="Q75" s="280" t="s">
        <v>473</v>
      </c>
    </row>
    <row r="76" spans="1:17" x14ac:dyDescent="0.2">
      <c r="A76" s="269">
        <v>43621</v>
      </c>
      <c r="B76" s="270" t="s">
        <v>1088</v>
      </c>
      <c r="C76" s="271" t="s">
        <v>1626</v>
      </c>
      <c r="D76" s="271" t="s">
        <v>1523</v>
      </c>
      <c r="E76" s="271" t="s">
        <v>1627</v>
      </c>
      <c r="F76" s="272">
        <v>24.25</v>
      </c>
      <c r="G76" s="272">
        <v>27.89</v>
      </c>
      <c r="H76" s="272">
        <v>1</v>
      </c>
      <c r="I76" s="272">
        <v>3.64</v>
      </c>
      <c r="J76" s="272">
        <v>27.89</v>
      </c>
      <c r="K76" s="271" t="s">
        <v>386</v>
      </c>
      <c r="L76" s="271" t="s">
        <v>1525</v>
      </c>
      <c r="M76" s="271" t="s">
        <v>1158</v>
      </c>
      <c r="N76" s="271" t="s">
        <v>1133</v>
      </c>
      <c r="O76" s="271" t="s">
        <v>1528</v>
      </c>
      <c r="P76" s="271" t="s">
        <v>134</v>
      </c>
      <c r="Q76" s="280" t="s">
        <v>473</v>
      </c>
    </row>
    <row r="77" spans="1:17" x14ac:dyDescent="0.2">
      <c r="A77" s="269">
        <v>43621</v>
      </c>
      <c r="B77" s="270" t="s">
        <v>1088</v>
      </c>
      <c r="C77" s="271" t="s">
        <v>1526</v>
      </c>
      <c r="D77" s="271" t="s">
        <v>1523</v>
      </c>
      <c r="E77" s="271" t="s">
        <v>1628</v>
      </c>
      <c r="F77" s="272">
        <v>49.22</v>
      </c>
      <c r="G77" s="272">
        <v>56.6</v>
      </c>
      <c r="H77" s="272">
        <v>1</v>
      </c>
      <c r="I77" s="272">
        <v>7.38</v>
      </c>
      <c r="J77" s="272">
        <v>56.6</v>
      </c>
      <c r="K77" s="271" t="s">
        <v>414</v>
      </c>
      <c r="L77" s="271" t="s">
        <v>1525</v>
      </c>
      <c r="M77" s="271" t="s">
        <v>1158</v>
      </c>
      <c r="N77" s="271" t="s">
        <v>1133</v>
      </c>
      <c r="O77" s="271" t="s">
        <v>1528</v>
      </c>
      <c r="P77" s="271" t="s">
        <v>134</v>
      </c>
      <c r="Q77" s="280" t="s">
        <v>473</v>
      </c>
    </row>
    <row r="78" spans="1:17" x14ac:dyDescent="0.2">
      <c r="A78" s="269">
        <v>43622</v>
      </c>
      <c r="B78" s="270" t="s">
        <v>1088</v>
      </c>
      <c r="C78" s="271" t="s">
        <v>1533</v>
      </c>
      <c r="D78" s="271" t="s">
        <v>1523</v>
      </c>
      <c r="E78" s="271" t="s">
        <v>1629</v>
      </c>
      <c r="F78" s="272">
        <v>73.040000000000006</v>
      </c>
      <c r="G78" s="272">
        <v>84</v>
      </c>
      <c r="H78" s="272">
        <v>1</v>
      </c>
      <c r="I78" s="272">
        <v>10.96</v>
      </c>
      <c r="J78" s="272">
        <v>84</v>
      </c>
      <c r="K78" s="271" t="s">
        <v>414</v>
      </c>
      <c r="L78" s="271" t="s">
        <v>1525</v>
      </c>
      <c r="M78" s="271" t="s">
        <v>1158</v>
      </c>
      <c r="N78" s="271" t="s">
        <v>1110</v>
      </c>
      <c r="O78" s="271" t="s">
        <v>1528</v>
      </c>
      <c r="P78" s="271" t="s">
        <v>134</v>
      </c>
      <c r="Q78" s="280" t="s">
        <v>473</v>
      </c>
    </row>
    <row r="79" spans="1:17" x14ac:dyDescent="0.2">
      <c r="A79" s="269">
        <v>43622</v>
      </c>
      <c r="B79" s="270" t="s">
        <v>1088</v>
      </c>
      <c r="C79" s="271" t="s">
        <v>1536</v>
      </c>
      <c r="D79" s="271" t="s">
        <v>1523</v>
      </c>
      <c r="E79" s="271" t="s">
        <v>1630</v>
      </c>
      <c r="F79" s="272">
        <v>186.28</v>
      </c>
      <c r="G79" s="272">
        <v>214.22</v>
      </c>
      <c r="H79" s="272">
        <v>1</v>
      </c>
      <c r="I79" s="272">
        <v>27.94</v>
      </c>
      <c r="J79" s="272">
        <v>214.22</v>
      </c>
      <c r="K79" s="271" t="s">
        <v>386</v>
      </c>
      <c r="L79" s="271" t="s">
        <v>1525</v>
      </c>
      <c r="M79" s="271" t="s">
        <v>1158</v>
      </c>
      <c r="N79" s="271" t="s">
        <v>1133</v>
      </c>
      <c r="O79" s="271" t="s">
        <v>1528</v>
      </c>
      <c r="P79" s="271" t="s">
        <v>134</v>
      </c>
      <c r="Q79" s="280" t="s">
        <v>473</v>
      </c>
    </row>
    <row r="80" spans="1:17" x14ac:dyDescent="0.2">
      <c r="A80" s="269">
        <v>43633</v>
      </c>
      <c r="B80" s="270" t="s">
        <v>1088</v>
      </c>
      <c r="C80" s="271" t="s">
        <v>1631</v>
      </c>
      <c r="D80" s="271" t="s">
        <v>1523</v>
      </c>
      <c r="E80" s="271" t="s">
        <v>1632</v>
      </c>
      <c r="F80" s="272">
        <v>24.35</v>
      </c>
      <c r="G80" s="272">
        <v>28</v>
      </c>
      <c r="H80" s="272">
        <v>1</v>
      </c>
      <c r="I80" s="272">
        <v>3.65</v>
      </c>
      <c r="J80" s="272">
        <v>28</v>
      </c>
      <c r="K80" s="271" t="s">
        <v>344</v>
      </c>
      <c r="L80" s="271" t="s">
        <v>1525</v>
      </c>
      <c r="M80" s="271" t="s">
        <v>1158</v>
      </c>
      <c r="N80" s="271" t="s">
        <v>1110</v>
      </c>
      <c r="O80" s="271" t="s">
        <v>24</v>
      </c>
      <c r="P80" s="271" t="s">
        <v>137</v>
      </c>
      <c r="Q80" s="271" t="s">
        <v>1633</v>
      </c>
    </row>
    <row r="81" spans="1:17" x14ac:dyDescent="0.2">
      <c r="A81" s="269">
        <v>43635</v>
      </c>
      <c r="B81" s="270" t="s">
        <v>1088</v>
      </c>
      <c r="C81" s="271" t="s">
        <v>1634</v>
      </c>
      <c r="D81" s="271" t="s">
        <v>1523</v>
      </c>
      <c r="E81" s="271" t="s">
        <v>1635</v>
      </c>
      <c r="F81" s="272">
        <v>7.48</v>
      </c>
      <c r="G81" s="272">
        <v>8.6</v>
      </c>
      <c r="H81" s="272">
        <v>1</v>
      </c>
      <c r="I81" s="272">
        <v>1.1200000000000001</v>
      </c>
      <c r="J81" s="272">
        <v>8.6</v>
      </c>
      <c r="K81" s="271" t="s">
        <v>344</v>
      </c>
      <c r="L81" s="271" t="s">
        <v>1525</v>
      </c>
      <c r="M81" s="271" t="s">
        <v>1158</v>
      </c>
      <c r="N81" s="271" t="s">
        <v>1110</v>
      </c>
      <c r="O81" s="271" t="s">
        <v>24</v>
      </c>
      <c r="P81" s="271" t="s">
        <v>137</v>
      </c>
      <c r="Q81" s="271" t="s">
        <v>1633</v>
      </c>
    </row>
    <row r="82" spans="1:17" x14ac:dyDescent="0.2">
      <c r="A82" s="18"/>
      <c r="B82" s="18"/>
      <c r="C82" s="18"/>
      <c r="D82" s="18"/>
      <c r="E82" s="289"/>
      <c r="F82" s="292">
        <f>SUM(F55:F81)</f>
        <v>6404.6100000000006</v>
      </c>
      <c r="G82" s="288">
        <v>8508.5499999999993</v>
      </c>
    </row>
    <row r="83" spans="1:17" x14ac:dyDescent="0.2">
      <c r="A83" s="18"/>
      <c r="B83" s="18"/>
      <c r="C83" s="18"/>
      <c r="D83" s="18"/>
      <c r="E83" s="18"/>
      <c r="F83" s="289"/>
      <c r="G83" s="272">
        <v>0</v>
      </c>
      <c r="H83" s="272">
        <v>0</v>
      </c>
      <c r="I83" s="272">
        <v>0</v>
      </c>
    </row>
    <row r="84" spans="1:17" x14ac:dyDescent="0.2">
      <c r="A84" s="18"/>
      <c r="B84" s="18"/>
      <c r="C84" s="18"/>
      <c r="D84" s="18"/>
      <c r="E84" s="18"/>
      <c r="F84" s="289"/>
      <c r="G84" s="272">
        <v>189.49</v>
      </c>
      <c r="H84" s="288">
        <v>8319.06</v>
      </c>
      <c r="I84" s="288">
        <v>8508.5499999999993</v>
      </c>
    </row>
  </sheetData>
  <autoFilter ref="A54:Q84" xr:uid="{BB92B517-9D09-411E-AC8B-6C5C71D4F8BE}"/>
  <pageMargins left="0.16" right="0.21" top="0.74803149606299213" bottom="0.57999999999999996" header="0.31496062992125984" footer="0.31496062992125984"/>
  <pageSetup paperSize="9" scale="46" orientation="landscape" r:id="rId1"/>
  <headerFooter>
    <oddFooter>&amp;L&amp;8&amp;Z&amp;F&amp;A&amp;R&amp;8&amp;D&amp;T</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C9D3-82DE-4F44-986F-1229D6718634}">
  <sheetPr>
    <tabColor theme="7"/>
  </sheetPr>
  <dimension ref="A1:N48"/>
  <sheetViews>
    <sheetView topLeftCell="A19" workbookViewId="0">
      <selection activeCell="E35" sqref="E35"/>
    </sheetView>
  </sheetViews>
  <sheetFormatPr defaultRowHeight="12.75" x14ac:dyDescent="0.2"/>
  <cols>
    <col min="1" max="1" width="13.85546875" bestFit="1" customWidth="1"/>
    <col min="2" max="2" width="52.7109375" bestFit="1" customWidth="1"/>
    <col min="3" max="3" width="13.140625" bestFit="1" customWidth="1"/>
    <col min="8" max="8" width="18.5703125" customWidth="1"/>
    <col min="9" max="9" width="14.7109375" bestFit="1" customWidth="1"/>
    <col min="10" max="10" width="15.85546875" bestFit="1" customWidth="1"/>
    <col min="11" max="11" width="46.7109375" bestFit="1" customWidth="1"/>
  </cols>
  <sheetData>
    <row r="1" spans="1:14" ht="15" x14ac:dyDescent="0.25">
      <c r="A1" s="196" t="s">
        <v>1021</v>
      </c>
      <c r="B1" t="s">
        <v>1022</v>
      </c>
      <c r="C1" t="s">
        <v>1023</v>
      </c>
      <c r="D1" s="196" t="s">
        <v>1024</v>
      </c>
      <c r="E1" s="196" t="s">
        <v>299</v>
      </c>
      <c r="F1" s="197" t="s">
        <v>1025</v>
      </c>
      <c r="G1" s="196" t="s">
        <v>1026</v>
      </c>
      <c r="H1" s="196" t="s">
        <v>1027</v>
      </c>
      <c r="I1" s="198" t="s">
        <v>1028</v>
      </c>
      <c r="J1" s="196" t="s">
        <v>1029</v>
      </c>
      <c r="K1" s="196" t="s">
        <v>1030</v>
      </c>
      <c r="L1" s="202" t="s">
        <v>1031</v>
      </c>
      <c r="M1" s="202" t="s">
        <v>1032</v>
      </c>
      <c r="N1" s="203" t="s">
        <v>1033</v>
      </c>
    </row>
    <row r="2" spans="1:14" x14ac:dyDescent="0.2">
      <c r="A2">
        <v>3605</v>
      </c>
      <c r="B2" t="s">
        <v>1037</v>
      </c>
      <c r="C2" t="s">
        <v>1038</v>
      </c>
      <c r="D2" t="s">
        <v>1039</v>
      </c>
      <c r="E2">
        <v>100</v>
      </c>
      <c r="F2" t="s">
        <v>1040</v>
      </c>
      <c r="G2" t="s">
        <v>1446</v>
      </c>
      <c r="H2" t="s">
        <v>1443</v>
      </c>
      <c r="I2" s="199">
        <v>43800</v>
      </c>
      <c r="J2" t="s">
        <v>1043</v>
      </c>
      <c r="K2" t="s">
        <v>1636</v>
      </c>
      <c r="L2">
        <v>5.85</v>
      </c>
      <c r="M2">
        <v>0.88</v>
      </c>
      <c r="N2">
        <v>6.73</v>
      </c>
    </row>
    <row r="3" spans="1:14" x14ac:dyDescent="0.2">
      <c r="A3">
        <v>3605</v>
      </c>
      <c r="B3" t="s">
        <v>1037</v>
      </c>
      <c r="C3" t="s">
        <v>1038</v>
      </c>
      <c r="D3" t="s">
        <v>1053</v>
      </c>
      <c r="E3">
        <v>100</v>
      </c>
      <c r="F3" t="s">
        <v>1040</v>
      </c>
      <c r="G3" t="s">
        <v>1446</v>
      </c>
      <c r="H3" t="s">
        <v>1443</v>
      </c>
      <c r="I3" s="199">
        <v>43800</v>
      </c>
      <c r="J3" t="s">
        <v>1043</v>
      </c>
      <c r="K3" t="s">
        <v>1636</v>
      </c>
      <c r="L3">
        <v>0.5</v>
      </c>
      <c r="M3">
        <v>0.08</v>
      </c>
      <c r="N3">
        <v>0.57999999999999996</v>
      </c>
    </row>
    <row r="4" spans="1:14" x14ac:dyDescent="0.2">
      <c r="A4">
        <v>3605</v>
      </c>
      <c r="B4" t="s">
        <v>1037</v>
      </c>
      <c r="C4" t="s">
        <v>1038</v>
      </c>
      <c r="D4" t="s">
        <v>1053</v>
      </c>
      <c r="E4">
        <v>100</v>
      </c>
      <c r="F4" t="s">
        <v>1040</v>
      </c>
      <c r="G4" t="s">
        <v>1446</v>
      </c>
      <c r="H4" t="s">
        <v>1443</v>
      </c>
      <c r="I4" s="199">
        <v>43800</v>
      </c>
      <c r="J4" t="s">
        <v>1043</v>
      </c>
      <c r="K4" t="s">
        <v>1636</v>
      </c>
      <c r="L4">
        <v>0.5</v>
      </c>
      <c r="M4">
        <v>0.08</v>
      </c>
      <c r="N4">
        <v>0.57999999999999996</v>
      </c>
    </row>
    <row r="5" spans="1:14" x14ac:dyDescent="0.2">
      <c r="A5">
        <v>3605</v>
      </c>
      <c r="B5" t="s">
        <v>1037</v>
      </c>
      <c r="C5" t="s">
        <v>1038</v>
      </c>
      <c r="D5" t="s">
        <v>1053</v>
      </c>
      <c r="E5">
        <v>100</v>
      </c>
      <c r="F5" t="s">
        <v>1040</v>
      </c>
      <c r="G5" t="s">
        <v>1446</v>
      </c>
      <c r="H5" t="s">
        <v>1443</v>
      </c>
      <c r="I5" s="199">
        <v>43800</v>
      </c>
      <c r="J5" t="s">
        <v>1043</v>
      </c>
      <c r="K5" t="s">
        <v>1636</v>
      </c>
      <c r="L5">
        <v>0.5</v>
      </c>
      <c r="M5">
        <v>0.08</v>
      </c>
      <c r="N5">
        <v>0.57999999999999996</v>
      </c>
    </row>
    <row r="6" spans="1:14" x14ac:dyDescent="0.2">
      <c r="A6">
        <v>3605</v>
      </c>
      <c r="B6" t="s">
        <v>1037</v>
      </c>
      <c r="C6" t="s">
        <v>1038</v>
      </c>
      <c r="D6" t="s">
        <v>1056</v>
      </c>
      <c r="E6">
        <v>100</v>
      </c>
      <c r="F6" t="s">
        <v>1040</v>
      </c>
      <c r="G6" t="s">
        <v>1446</v>
      </c>
      <c r="H6" t="s">
        <v>1443</v>
      </c>
      <c r="I6" s="199">
        <v>43800</v>
      </c>
      <c r="J6" t="s">
        <v>1043</v>
      </c>
      <c r="K6" t="s">
        <v>1636</v>
      </c>
      <c r="L6">
        <v>7.5</v>
      </c>
      <c r="M6">
        <v>1.1299999999999999</v>
      </c>
      <c r="N6">
        <v>8.6300000000000008</v>
      </c>
    </row>
    <row r="7" spans="1:14" x14ac:dyDescent="0.2">
      <c r="A7">
        <v>3605</v>
      </c>
      <c r="B7" t="s">
        <v>1037</v>
      </c>
      <c r="C7" t="s">
        <v>1038</v>
      </c>
      <c r="D7" t="s">
        <v>1039</v>
      </c>
      <c r="E7">
        <v>100</v>
      </c>
      <c r="F7" t="s">
        <v>1040</v>
      </c>
      <c r="G7" t="s">
        <v>1041</v>
      </c>
      <c r="H7" t="s">
        <v>1042</v>
      </c>
      <c r="I7" s="199">
        <v>43908</v>
      </c>
      <c r="J7" t="s">
        <v>1043</v>
      </c>
      <c r="K7" t="s">
        <v>1637</v>
      </c>
      <c r="L7">
        <v>5.85</v>
      </c>
      <c r="M7">
        <v>0.88</v>
      </c>
      <c r="N7">
        <v>6.73</v>
      </c>
    </row>
    <row r="8" spans="1:14" x14ac:dyDescent="0.2">
      <c r="A8">
        <v>3605</v>
      </c>
      <c r="B8" t="s">
        <v>1037</v>
      </c>
      <c r="C8" t="s">
        <v>1038</v>
      </c>
      <c r="D8" t="s">
        <v>1046</v>
      </c>
      <c r="E8">
        <v>100</v>
      </c>
      <c r="F8" t="s">
        <v>1040</v>
      </c>
      <c r="G8" t="s">
        <v>1110</v>
      </c>
      <c r="H8" t="s">
        <v>1042</v>
      </c>
      <c r="I8" s="199">
        <v>43908</v>
      </c>
      <c r="J8" t="s">
        <v>1043</v>
      </c>
      <c r="K8" t="s">
        <v>1637</v>
      </c>
      <c r="L8">
        <v>10</v>
      </c>
      <c r="M8">
        <v>1.5</v>
      </c>
      <c r="N8">
        <v>11.5</v>
      </c>
    </row>
    <row r="9" spans="1:14" x14ac:dyDescent="0.2">
      <c r="A9">
        <v>3605</v>
      </c>
      <c r="B9" t="s">
        <v>1037</v>
      </c>
      <c r="C9" t="s">
        <v>1038</v>
      </c>
      <c r="D9" t="s">
        <v>1046</v>
      </c>
      <c r="E9">
        <v>100</v>
      </c>
      <c r="F9" t="s">
        <v>1040</v>
      </c>
      <c r="G9" t="s">
        <v>1110</v>
      </c>
      <c r="H9" t="s">
        <v>1042</v>
      </c>
      <c r="I9" s="199">
        <v>43908</v>
      </c>
      <c r="J9" t="s">
        <v>1043</v>
      </c>
      <c r="K9" t="s">
        <v>1637</v>
      </c>
      <c r="L9">
        <v>10</v>
      </c>
      <c r="M9">
        <v>1.5</v>
      </c>
      <c r="N9">
        <v>11.5</v>
      </c>
    </row>
    <row r="10" spans="1:14" x14ac:dyDescent="0.2">
      <c r="A10">
        <v>3605</v>
      </c>
      <c r="B10" t="s">
        <v>1435</v>
      </c>
      <c r="C10" t="s">
        <v>1038</v>
      </c>
      <c r="D10" t="s">
        <v>1436</v>
      </c>
      <c r="E10">
        <v>100</v>
      </c>
      <c r="F10" t="s">
        <v>1040</v>
      </c>
      <c r="G10" t="s">
        <v>1041</v>
      </c>
      <c r="H10" t="s">
        <v>1638</v>
      </c>
      <c r="I10" s="199">
        <v>43910</v>
      </c>
      <c r="J10" t="s">
        <v>1043</v>
      </c>
      <c r="K10" t="s">
        <v>1639</v>
      </c>
      <c r="L10">
        <v>105.35</v>
      </c>
      <c r="M10">
        <v>0</v>
      </c>
      <c r="N10">
        <v>105.35</v>
      </c>
    </row>
    <row r="11" spans="1:14" x14ac:dyDescent="0.2">
      <c r="A11">
        <v>3605</v>
      </c>
      <c r="B11" t="s">
        <v>1435</v>
      </c>
      <c r="C11" t="s">
        <v>1038</v>
      </c>
      <c r="D11" t="s">
        <v>1442</v>
      </c>
      <c r="E11">
        <v>100</v>
      </c>
      <c r="F11" t="s">
        <v>1040</v>
      </c>
      <c r="G11" t="s">
        <v>1041</v>
      </c>
      <c r="H11" t="s">
        <v>1638</v>
      </c>
      <c r="I11" s="199">
        <v>43910</v>
      </c>
      <c r="J11" t="s">
        <v>1043</v>
      </c>
      <c r="K11" t="s">
        <v>1639</v>
      </c>
      <c r="L11">
        <v>50</v>
      </c>
      <c r="M11">
        <v>0</v>
      </c>
      <c r="N11">
        <v>50</v>
      </c>
    </row>
    <row r="12" spans="1:14" ht="13.5" thickBot="1" x14ac:dyDescent="0.25">
      <c r="I12" s="199"/>
      <c r="L12" s="347">
        <f>SUM(L2:L11)</f>
        <v>196.05</v>
      </c>
      <c r="M12" s="347">
        <f t="shared" ref="M12:N12" si="0">SUM(M2:M11)</f>
        <v>6.13</v>
      </c>
      <c r="N12" s="347">
        <f t="shared" si="0"/>
        <v>202.18</v>
      </c>
    </row>
    <row r="13" spans="1:14" x14ac:dyDescent="0.2">
      <c r="I13" s="199"/>
    </row>
    <row r="14" spans="1:14" x14ac:dyDescent="0.2">
      <c r="I14" s="199"/>
    </row>
    <row r="15" spans="1:14" x14ac:dyDescent="0.2">
      <c r="A15">
        <v>3610</v>
      </c>
      <c r="B15" t="s">
        <v>1037</v>
      </c>
      <c r="C15" t="s">
        <v>1045</v>
      </c>
      <c r="E15">
        <v>100</v>
      </c>
      <c r="F15" t="s">
        <v>1040</v>
      </c>
      <c r="G15" t="s">
        <v>1446</v>
      </c>
      <c r="H15" t="s">
        <v>1443</v>
      </c>
      <c r="I15" s="199">
        <v>43800</v>
      </c>
      <c r="J15" t="s">
        <v>1043</v>
      </c>
      <c r="K15" t="s">
        <v>1636</v>
      </c>
      <c r="L15">
        <v>402.86</v>
      </c>
      <c r="M15">
        <v>60.43</v>
      </c>
      <c r="N15">
        <v>463.29</v>
      </c>
    </row>
    <row r="16" spans="1:14" x14ac:dyDescent="0.2">
      <c r="A16">
        <v>3610</v>
      </c>
      <c r="B16" t="s">
        <v>1037</v>
      </c>
      <c r="C16" t="s">
        <v>1045</v>
      </c>
      <c r="E16">
        <v>100</v>
      </c>
      <c r="F16" t="s">
        <v>1040</v>
      </c>
      <c r="G16" t="s">
        <v>1041</v>
      </c>
      <c r="H16" t="s">
        <v>1042</v>
      </c>
      <c r="I16" s="199">
        <v>43908</v>
      </c>
      <c r="J16" t="s">
        <v>1043</v>
      </c>
      <c r="K16" t="s">
        <v>1637</v>
      </c>
      <c r="L16">
        <v>230.69</v>
      </c>
      <c r="M16">
        <v>34.6</v>
      </c>
      <c r="N16">
        <v>265.29000000000002</v>
      </c>
    </row>
    <row r="17" spans="1:14" x14ac:dyDescent="0.2">
      <c r="A17">
        <v>3610</v>
      </c>
      <c r="B17" t="s">
        <v>1037</v>
      </c>
      <c r="C17" t="s">
        <v>1045</v>
      </c>
      <c r="E17">
        <v>100</v>
      </c>
      <c r="F17" t="s">
        <v>1040</v>
      </c>
      <c r="G17" t="s">
        <v>1041</v>
      </c>
      <c r="H17" t="s">
        <v>1042</v>
      </c>
      <c r="I17" s="199">
        <v>43908</v>
      </c>
      <c r="J17" t="s">
        <v>1043</v>
      </c>
      <c r="K17" t="s">
        <v>1637</v>
      </c>
      <c r="L17">
        <v>319.39</v>
      </c>
      <c r="M17">
        <v>47.91</v>
      </c>
      <c r="N17">
        <v>367.3</v>
      </c>
    </row>
    <row r="18" spans="1:14" x14ac:dyDescent="0.2">
      <c r="A18">
        <v>3610</v>
      </c>
      <c r="B18" t="s">
        <v>1037</v>
      </c>
      <c r="C18" t="s">
        <v>1045</v>
      </c>
      <c r="E18">
        <v>100</v>
      </c>
      <c r="F18" t="s">
        <v>1040</v>
      </c>
      <c r="G18" t="s">
        <v>1041</v>
      </c>
      <c r="H18" t="s">
        <v>1042</v>
      </c>
      <c r="I18" s="199">
        <v>43908</v>
      </c>
      <c r="J18" t="s">
        <v>1043</v>
      </c>
      <c r="K18" t="s">
        <v>1637</v>
      </c>
      <c r="L18">
        <v>-550.08000000000004</v>
      </c>
      <c r="M18">
        <v>-82.51</v>
      </c>
      <c r="N18">
        <v>-632.59</v>
      </c>
    </row>
    <row r="19" spans="1:14" ht="13.5" thickBot="1" x14ac:dyDescent="0.25">
      <c r="I19" s="199"/>
      <c r="L19" s="347">
        <f>SUM(L15:L18)</f>
        <v>402.8599999999999</v>
      </c>
      <c r="M19" s="347">
        <f t="shared" ref="M19:N19" si="1">SUM(M15:M18)</f>
        <v>60.429999999999993</v>
      </c>
      <c r="N19" s="347">
        <f t="shared" si="1"/>
        <v>463.29000000000008</v>
      </c>
    </row>
    <row r="20" spans="1:14" x14ac:dyDescent="0.2">
      <c r="I20" s="199"/>
    </row>
    <row r="21" spans="1:14" x14ac:dyDescent="0.2">
      <c r="I21" s="199"/>
    </row>
    <row r="22" spans="1:14" x14ac:dyDescent="0.2">
      <c r="A22">
        <v>3635</v>
      </c>
      <c r="B22" t="s">
        <v>1037</v>
      </c>
      <c r="C22" t="s">
        <v>1057</v>
      </c>
      <c r="E22">
        <v>100</v>
      </c>
      <c r="F22" t="s">
        <v>1040</v>
      </c>
      <c r="G22" t="s">
        <v>1446</v>
      </c>
      <c r="H22" t="s">
        <v>1443</v>
      </c>
      <c r="I22" s="199">
        <v>43800</v>
      </c>
      <c r="J22" t="s">
        <v>1043</v>
      </c>
      <c r="K22" t="s">
        <v>1636</v>
      </c>
      <c r="L22">
        <v>24</v>
      </c>
      <c r="M22">
        <v>3.6</v>
      </c>
      <c r="N22">
        <v>27.6</v>
      </c>
    </row>
    <row r="23" spans="1:14" x14ac:dyDescent="0.2">
      <c r="A23">
        <v>3635</v>
      </c>
      <c r="B23" t="s">
        <v>1037</v>
      </c>
      <c r="C23" t="s">
        <v>1057</v>
      </c>
      <c r="E23">
        <v>100</v>
      </c>
      <c r="F23" t="s">
        <v>1040</v>
      </c>
      <c r="G23" t="s">
        <v>1446</v>
      </c>
      <c r="H23" t="s">
        <v>1443</v>
      </c>
      <c r="I23" s="199">
        <v>43800</v>
      </c>
      <c r="J23" t="s">
        <v>1043</v>
      </c>
      <c r="K23" t="s">
        <v>1636</v>
      </c>
      <c r="L23">
        <v>13.13</v>
      </c>
      <c r="M23">
        <v>1.97</v>
      </c>
      <c r="N23">
        <v>15.1</v>
      </c>
    </row>
    <row r="24" spans="1:14" x14ac:dyDescent="0.2">
      <c r="A24">
        <v>3635</v>
      </c>
      <c r="B24" t="s">
        <v>1037</v>
      </c>
      <c r="C24" t="s">
        <v>1057</v>
      </c>
      <c r="E24">
        <v>100</v>
      </c>
      <c r="F24" t="s">
        <v>1040</v>
      </c>
      <c r="G24" t="s">
        <v>1446</v>
      </c>
      <c r="H24" t="s">
        <v>1443</v>
      </c>
      <c r="I24" s="199">
        <v>43800</v>
      </c>
      <c r="J24" t="s">
        <v>1043</v>
      </c>
      <c r="K24" t="s">
        <v>1636</v>
      </c>
      <c r="L24">
        <v>1.35</v>
      </c>
      <c r="M24">
        <v>0.2</v>
      </c>
      <c r="N24">
        <v>1.55</v>
      </c>
    </row>
    <row r="25" spans="1:14" x14ac:dyDescent="0.2">
      <c r="A25">
        <v>3635</v>
      </c>
      <c r="B25" t="s">
        <v>1037</v>
      </c>
      <c r="C25" t="s">
        <v>1057</v>
      </c>
      <c r="E25">
        <v>100</v>
      </c>
      <c r="F25" t="s">
        <v>1040</v>
      </c>
      <c r="G25" t="s">
        <v>1446</v>
      </c>
      <c r="H25" t="s">
        <v>1443</v>
      </c>
      <c r="I25" s="199">
        <v>43800</v>
      </c>
      <c r="J25" t="s">
        <v>1043</v>
      </c>
      <c r="K25" t="s">
        <v>1636</v>
      </c>
      <c r="L25">
        <v>90</v>
      </c>
      <c r="M25">
        <v>13.5</v>
      </c>
      <c r="N25">
        <v>103.5</v>
      </c>
    </row>
    <row r="26" spans="1:14" ht="13.5" thickBot="1" x14ac:dyDescent="0.25">
      <c r="I26" s="199"/>
      <c r="L26" s="347">
        <f>SUM(L22:L25)</f>
        <v>128.48000000000002</v>
      </c>
      <c r="M26" s="347">
        <f t="shared" ref="M26:N26" si="2">SUM(M22:M25)</f>
        <v>19.27</v>
      </c>
      <c r="N26" s="347">
        <f t="shared" si="2"/>
        <v>147.75</v>
      </c>
    </row>
    <row r="27" spans="1:14" x14ac:dyDescent="0.2">
      <c r="I27" s="199"/>
    </row>
    <row r="28" spans="1:14" x14ac:dyDescent="0.2">
      <c r="I28" s="199"/>
    </row>
    <row r="29" spans="1:14" x14ac:dyDescent="0.2">
      <c r="A29">
        <v>3705</v>
      </c>
      <c r="B29" t="s">
        <v>1435</v>
      </c>
      <c r="C29" t="s">
        <v>1045</v>
      </c>
      <c r="E29">
        <v>100</v>
      </c>
      <c r="F29" t="s">
        <v>1040</v>
      </c>
      <c r="G29" t="s">
        <v>1041</v>
      </c>
      <c r="H29" t="s">
        <v>1638</v>
      </c>
      <c r="I29" s="199">
        <v>43910</v>
      </c>
      <c r="J29" t="s">
        <v>1043</v>
      </c>
      <c r="K29" t="s">
        <v>1639</v>
      </c>
      <c r="L29">
        <v>8050.03</v>
      </c>
      <c r="M29">
        <v>0</v>
      </c>
      <c r="N29">
        <v>8050.03</v>
      </c>
    </row>
    <row r="30" spans="1:14" x14ac:dyDescent="0.2">
      <c r="A30">
        <v>3705</v>
      </c>
      <c r="B30" t="s">
        <v>1435</v>
      </c>
      <c r="C30" t="s">
        <v>1045</v>
      </c>
      <c r="E30">
        <v>100</v>
      </c>
      <c r="F30" t="s">
        <v>1040</v>
      </c>
      <c r="G30" t="s">
        <v>1041</v>
      </c>
      <c r="H30" t="s">
        <v>1638</v>
      </c>
      <c r="I30" s="199">
        <v>43910</v>
      </c>
      <c r="J30" t="s">
        <v>1043</v>
      </c>
      <c r="K30" t="s">
        <v>1639</v>
      </c>
      <c r="L30">
        <v>200</v>
      </c>
      <c r="M30">
        <v>0</v>
      </c>
      <c r="N30">
        <v>200</v>
      </c>
    </row>
    <row r="31" spans="1:14" ht="13.5" thickBot="1" x14ac:dyDescent="0.25">
      <c r="L31" s="347">
        <f>SUM(L29:L30)</f>
        <v>8250.0299999999988</v>
      </c>
      <c r="M31" s="347">
        <f t="shared" ref="M31:N31" si="3">SUM(M29:M30)</f>
        <v>0</v>
      </c>
      <c r="N31" s="347">
        <f t="shared" si="3"/>
        <v>8250.0299999999988</v>
      </c>
    </row>
    <row r="37" spans="1:3" x14ac:dyDescent="0.2">
      <c r="A37" s="208" t="s">
        <v>1058</v>
      </c>
      <c r="B37" s="208" t="s">
        <v>1030</v>
      </c>
      <c r="C37" t="s">
        <v>1059</v>
      </c>
    </row>
    <row r="38" spans="1:3" x14ac:dyDescent="0.2">
      <c r="A38" s="205">
        <v>43800</v>
      </c>
      <c r="B38" s="206" t="s">
        <v>1636</v>
      </c>
      <c r="C38" s="177">
        <v>546.19000000000005</v>
      </c>
    </row>
    <row r="39" spans="1:3" x14ac:dyDescent="0.2">
      <c r="B39" s="391">
        <v>3605</v>
      </c>
      <c r="C39" s="177">
        <v>14.85</v>
      </c>
    </row>
    <row r="40" spans="1:3" x14ac:dyDescent="0.2">
      <c r="B40" s="391">
        <v>3610</v>
      </c>
      <c r="C40" s="177">
        <v>402.86</v>
      </c>
    </row>
    <row r="41" spans="1:3" x14ac:dyDescent="0.2">
      <c r="B41" s="391">
        <v>3635</v>
      </c>
      <c r="C41" s="177">
        <v>128.48000000000002</v>
      </c>
    </row>
    <row r="42" spans="1:3" x14ac:dyDescent="0.2">
      <c r="A42" s="205">
        <v>43908</v>
      </c>
      <c r="B42" s="206" t="s">
        <v>1637</v>
      </c>
      <c r="C42" s="177">
        <v>25.849999999999888</v>
      </c>
    </row>
    <row r="43" spans="1:3" x14ac:dyDescent="0.2">
      <c r="B43" s="391">
        <v>3605</v>
      </c>
      <c r="C43" s="177">
        <v>25.85</v>
      </c>
    </row>
    <row r="44" spans="1:3" x14ac:dyDescent="0.2">
      <c r="B44" s="391">
        <v>3610</v>
      </c>
      <c r="C44" s="177">
        <v>-1.1368683772161603E-13</v>
      </c>
    </row>
    <row r="45" spans="1:3" x14ac:dyDescent="0.2">
      <c r="A45" s="205">
        <v>43910</v>
      </c>
      <c r="B45" s="206" t="s">
        <v>1639</v>
      </c>
      <c r="C45" s="177">
        <v>8405.3799999999992</v>
      </c>
    </row>
    <row r="46" spans="1:3" x14ac:dyDescent="0.2">
      <c r="B46" s="391">
        <v>3605</v>
      </c>
      <c r="C46" s="177">
        <v>155.35</v>
      </c>
    </row>
    <row r="47" spans="1:3" x14ac:dyDescent="0.2">
      <c r="B47" s="391">
        <v>3705</v>
      </c>
      <c r="C47" s="177">
        <v>8250.0299999999988</v>
      </c>
    </row>
    <row r="48" spans="1:3" x14ac:dyDescent="0.2">
      <c r="A48" s="205" t="s">
        <v>1062</v>
      </c>
      <c r="C48" s="177">
        <v>8977.4199999999983</v>
      </c>
    </row>
  </sheetData>
  <sortState xmlns:xlrd2="http://schemas.microsoft.com/office/spreadsheetml/2017/richdata2" ref="A2:N30">
    <sortCondition ref="A2:A30"/>
    <sortCondition ref="I2:I30"/>
  </sortState>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4E5B-1EBB-45C8-873E-A78CFF227635}">
  <sheetPr>
    <tabColor theme="7"/>
  </sheetPr>
  <dimension ref="A1:O4"/>
  <sheetViews>
    <sheetView workbookViewId="0">
      <selection activeCell="A3" sqref="A3"/>
    </sheetView>
  </sheetViews>
  <sheetFormatPr defaultRowHeight="12.75" x14ac:dyDescent="0.2"/>
  <cols>
    <col min="1" max="1" width="16.140625" customWidth="1"/>
    <col min="3" max="3" width="17.5703125" customWidth="1"/>
    <col min="4" max="4" width="15.7109375" customWidth="1"/>
    <col min="8" max="8" width="31.85546875" customWidth="1"/>
    <col min="9" max="9" width="26.140625" customWidth="1"/>
  </cols>
  <sheetData>
    <row r="1" spans="1:15" x14ac:dyDescent="0.2">
      <c r="A1" t="s">
        <v>1467</v>
      </c>
      <c r="B1" t="s">
        <v>1468</v>
      </c>
      <c r="C1" t="s">
        <v>1469</v>
      </c>
      <c r="D1" t="s">
        <v>1470</v>
      </c>
      <c r="E1" t="s">
        <v>1471</v>
      </c>
      <c r="F1" t="s">
        <v>1472</v>
      </c>
      <c r="G1" t="s">
        <v>1473</v>
      </c>
      <c r="H1" t="s">
        <v>1474</v>
      </c>
      <c r="I1" t="s">
        <v>1475</v>
      </c>
      <c r="J1" t="s">
        <v>1476</v>
      </c>
      <c r="K1" t="s">
        <v>1032</v>
      </c>
      <c r="L1" t="s">
        <v>1477</v>
      </c>
      <c r="M1" t="s">
        <v>1478</v>
      </c>
      <c r="N1" t="s">
        <v>1640</v>
      </c>
      <c r="O1" s="22" t="s">
        <v>1641</v>
      </c>
    </row>
    <row r="2" spans="1:15" x14ac:dyDescent="0.2">
      <c r="A2" s="199">
        <v>43802</v>
      </c>
      <c r="B2" s="201">
        <v>0.76388888888888884</v>
      </c>
      <c r="C2" s="199">
        <v>43803</v>
      </c>
      <c r="D2" s="199">
        <v>43830</v>
      </c>
      <c r="E2" t="s">
        <v>1319</v>
      </c>
      <c r="F2" t="s">
        <v>1642</v>
      </c>
      <c r="G2" t="s">
        <v>325</v>
      </c>
      <c r="H2" t="s">
        <v>1485</v>
      </c>
      <c r="I2" t="s">
        <v>1484</v>
      </c>
      <c r="J2">
        <v>43.62</v>
      </c>
      <c r="K2">
        <v>6.54</v>
      </c>
      <c r="L2">
        <v>50.16</v>
      </c>
      <c r="M2">
        <v>45.6</v>
      </c>
      <c r="N2">
        <v>544</v>
      </c>
    </row>
    <row r="3" spans="1:15" x14ac:dyDescent="0.2">
      <c r="A3" s="199">
        <v>43882</v>
      </c>
      <c r="B3" s="201">
        <v>0.54236111111111118</v>
      </c>
      <c r="C3" s="199">
        <v>43882</v>
      </c>
      <c r="D3" s="199">
        <v>43890</v>
      </c>
      <c r="E3" t="s">
        <v>1319</v>
      </c>
      <c r="F3" t="s">
        <v>1642</v>
      </c>
      <c r="G3" t="s">
        <v>325</v>
      </c>
      <c r="H3" t="s">
        <v>1643</v>
      </c>
      <c r="I3" t="s">
        <v>1644</v>
      </c>
      <c r="J3">
        <v>9.57</v>
      </c>
      <c r="K3">
        <v>1.43</v>
      </c>
      <c r="L3">
        <v>11</v>
      </c>
      <c r="M3">
        <v>10</v>
      </c>
      <c r="N3">
        <v>559</v>
      </c>
    </row>
    <row r="4" spans="1:15" ht="13.5" thickBot="1" x14ac:dyDescent="0.25">
      <c r="J4" s="347">
        <f>SUM(J2:J3)</f>
        <v>53.19</v>
      </c>
      <c r="K4" s="347">
        <f t="shared" ref="K4:N4" si="0">SUM(K2:K3)</f>
        <v>7.97</v>
      </c>
      <c r="L4" s="347">
        <f t="shared" si="0"/>
        <v>61.16</v>
      </c>
      <c r="M4" s="347">
        <f t="shared" si="0"/>
        <v>55.6</v>
      </c>
      <c r="N4" s="347">
        <f t="shared" si="0"/>
        <v>1103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511F-0399-45D2-9D73-38695F9C3254}">
  <sheetPr filterMode="1">
    <tabColor theme="7"/>
    <pageSetUpPr fitToPage="1"/>
  </sheetPr>
  <dimension ref="A1:T41"/>
  <sheetViews>
    <sheetView topLeftCell="F3" workbookViewId="0">
      <selection activeCell="S10" sqref="S10"/>
    </sheetView>
  </sheetViews>
  <sheetFormatPr defaultRowHeight="12.75" x14ac:dyDescent="0.2"/>
  <cols>
    <col min="1" max="1" width="17.5703125" bestFit="1" customWidth="1"/>
    <col min="2" max="2" width="25.28515625" customWidth="1"/>
    <col min="3" max="3" width="27.7109375" bestFit="1" customWidth="1"/>
    <col min="4" max="4" width="34.28515625" customWidth="1"/>
    <col min="5" max="5" width="9.140625" customWidth="1"/>
    <col min="6" max="6" width="13.5703125" customWidth="1"/>
    <col min="7" max="7" width="11.140625" customWidth="1"/>
    <col min="8" max="8" width="10.28515625" customWidth="1"/>
    <col min="9" max="9" width="12.140625" customWidth="1"/>
    <col min="10" max="10" width="12.85546875" customWidth="1"/>
    <col min="11" max="11" width="12.5703125" customWidth="1"/>
    <col min="12" max="12" width="10.85546875" customWidth="1"/>
    <col min="13" max="13" width="11.5703125" customWidth="1"/>
    <col min="14" max="14" width="21.28515625" bestFit="1" customWidth="1"/>
    <col min="15" max="15" width="12.42578125" bestFit="1" customWidth="1"/>
    <col min="16" max="16" width="17.140625" bestFit="1" customWidth="1"/>
    <col min="17" max="17" width="14.28515625" bestFit="1" customWidth="1"/>
    <col min="18" max="18" width="12.42578125" bestFit="1" customWidth="1"/>
    <col min="19" max="19" width="92.7109375" bestFit="1" customWidth="1"/>
    <col min="20" max="20" width="16.28515625" bestFit="1" customWidth="1"/>
    <col min="21" max="22" width="15" bestFit="1" customWidth="1"/>
  </cols>
  <sheetData>
    <row r="1" spans="1:20" ht="18" x14ac:dyDescent="0.2">
      <c r="A1" s="880" t="s">
        <v>1645</v>
      </c>
      <c r="B1" s="878"/>
      <c r="C1" s="878"/>
      <c r="D1" s="878"/>
      <c r="E1" s="878"/>
      <c r="F1" s="878"/>
      <c r="G1" s="878"/>
      <c r="H1" s="878"/>
      <c r="I1" s="878"/>
      <c r="J1" s="878"/>
      <c r="K1" s="878"/>
      <c r="L1" s="878"/>
      <c r="M1" s="878"/>
      <c r="N1" s="878"/>
      <c r="O1" s="878"/>
      <c r="P1" s="878"/>
      <c r="Q1" s="878"/>
      <c r="R1" s="878"/>
      <c r="S1" s="878"/>
    </row>
    <row r="2" spans="1:20" ht="18" x14ac:dyDescent="0.2">
      <c r="A2" s="880" t="s">
        <v>1646</v>
      </c>
      <c r="B2" s="878"/>
      <c r="C2" s="878"/>
      <c r="D2" s="878"/>
      <c r="E2" s="878"/>
      <c r="F2" s="878"/>
      <c r="G2" s="878"/>
      <c r="H2" s="878"/>
      <c r="I2" s="878"/>
      <c r="J2" s="878"/>
      <c r="K2" s="878"/>
      <c r="L2" s="878"/>
      <c r="M2" s="878"/>
      <c r="N2" s="878"/>
      <c r="O2" s="878"/>
      <c r="P2" s="878"/>
      <c r="Q2" s="878"/>
      <c r="R2" s="878"/>
      <c r="S2" s="878"/>
    </row>
    <row r="3" spans="1:20" ht="18.75" thickBot="1" x14ac:dyDescent="0.25">
      <c r="A3" s="880" t="s">
        <v>1647</v>
      </c>
      <c r="B3" s="878"/>
      <c r="C3" s="878"/>
      <c r="D3" s="878"/>
      <c r="E3" s="878"/>
      <c r="F3" s="878"/>
      <c r="G3" s="878"/>
      <c r="H3" s="878"/>
      <c r="I3" s="878"/>
      <c r="J3" s="878"/>
      <c r="K3" s="878"/>
      <c r="L3" s="878"/>
      <c r="M3" s="878"/>
      <c r="N3" s="878"/>
      <c r="O3" s="878"/>
      <c r="P3" s="878"/>
      <c r="Q3" s="878"/>
      <c r="R3" s="878"/>
      <c r="S3" s="878"/>
    </row>
    <row r="4" spans="1:20" ht="13.5" thickBot="1" x14ac:dyDescent="0.25">
      <c r="A4" s="333" t="s">
        <v>1467</v>
      </c>
      <c r="B4" s="333" t="s">
        <v>1648</v>
      </c>
      <c r="C4" s="333" t="s">
        <v>3</v>
      </c>
      <c r="D4" s="333" t="s">
        <v>1649</v>
      </c>
      <c r="E4" s="333" t="s">
        <v>1650</v>
      </c>
      <c r="F4" s="333" t="s">
        <v>1651</v>
      </c>
      <c r="G4" s="333" t="s">
        <v>1652</v>
      </c>
      <c r="H4" s="333" t="s">
        <v>1653</v>
      </c>
      <c r="I4" s="333" t="s">
        <v>1654</v>
      </c>
      <c r="J4" s="333" t="s">
        <v>1655</v>
      </c>
      <c r="K4" s="333" t="s">
        <v>299</v>
      </c>
      <c r="L4" s="333" t="s">
        <v>1025</v>
      </c>
      <c r="M4" s="333" t="s">
        <v>1480</v>
      </c>
      <c r="N4" s="333" t="s">
        <v>1656</v>
      </c>
      <c r="O4" s="333" t="s">
        <v>1657</v>
      </c>
      <c r="P4" s="333" t="s">
        <v>1658</v>
      </c>
      <c r="Q4" s="333" t="s">
        <v>1479</v>
      </c>
      <c r="R4" s="333" t="s">
        <v>1480</v>
      </c>
      <c r="S4" s="345" t="s">
        <v>3</v>
      </c>
    </row>
    <row r="5" spans="1:20" ht="13.5" thickBot="1" x14ac:dyDescent="0.25">
      <c r="A5" s="334">
        <v>43650</v>
      </c>
      <c r="B5" s="335" t="s">
        <v>1659</v>
      </c>
      <c r="C5" s="335" t="s">
        <v>1355</v>
      </c>
      <c r="D5" s="336"/>
      <c r="E5" s="337" t="s">
        <v>1660</v>
      </c>
      <c r="F5" s="338">
        <v>27.4</v>
      </c>
      <c r="G5" s="338">
        <v>27.4</v>
      </c>
      <c r="H5" s="338">
        <v>3.57</v>
      </c>
      <c r="I5" s="338">
        <v>23.83</v>
      </c>
      <c r="J5" s="335" t="s">
        <v>386</v>
      </c>
      <c r="K5" s="335" t="s">
        <v>1525</v>
      </c>
      <c r="L5" s="335" t="s">
        <v>318</v>
      </c>
      <c r="M5" s="335" t="s">
        <v>1133</v>
      </c>
      <c r="N5" s="335" t="s">
        <v>1661</v>
      </c>
      <c r="O5" s="335" t="s">
        <v>1662</v>
      </c>
      <c r="P5" s="335" t="s">
        <v>1663</v>
      </c>
      <c r="Q5" t="s">
        <v>73</v>
      </c>
      <c r="R5" t="s">
        <v>134</v>
      </c>
      <c r="S5" t="s">
        <v>1447</v>
      </c>
      <c r="T5" s="280" t="s">
        <v>473</v>
      </c>
    </row>
    <row r="6" spans="1:20" ht="13.5" thickBot="1" x14ac:dyDescent="0.25">
      <c r="A6" s="334">
        <v>43650</v>
      </c>
      <c r="B6" s="335" t="s">
        <v>1664</v>
      </c>
      <c r="C6" s="335" t="s">
        <v>1356</v>
      </c>
      <c r="D6" s="336"/>
      <c r="E6" s="337" t="s">
        <v>1660</v>
      </c>
      <c r="F6" s="338">
        <v>37</v>
      </c>
      <c r="G6" s="338">
        <v>37</v>
      </c>
      <c r="H6" s="338">
        <v>4.83</v>
      </c>
      <c r="I6" s="338">
        <v>32.17</v>
      </c>
      <c r="J6" s="335" t="s">
        <v>386</v>
      </c>
      <c r="K6" s="335" t="s">
        <v>1525</v>
      </c>
      <c r="L6" s="335" t="s">
        <v>318</v>
      </c>
      <c r="M6" s="335" t="s">
        <v>1133</v>
      </c>
      <c r="N6" s="335" t="s">
        <v>1661</v>
      </c>
      <c r="O6" s="335" t="s">
        <v>1662</v>
      </c>
      <c r="P6" s="335" t="s">
        <v>1663</v>
      </c>
      <c r="Q6" t="s">
        <v>73</v>
      </c>
      <c r="R6" t="s">
        <v>134</v>
      </c>
      <c r="S6" t="s">
        <v>1447</v>
      </c>
      <c r="T6" s="280" t="s">
        <v>473</v>
      </c>
    </row>
    <row r="7" spans="1:20" ht="13.5" thickBot="1" x14ac:dyDescent="0.25">
      <c r="A7" s="334">
        <v>43650</v>
      </c>
      <c r="B7" s="335" t="s">
        <v>1665</v>
      </c>
      <c r="C7" s="335" t="s">
        <v>1358</v>
      </c>
      <c r="D7" s="336"/>
      <c r="E7" s="337" t="s">
        <v>1660</v>
      </c>
      <c r="F7" s="338">
        <v>10.4</v>
      </c>
      <c r="G7" s="338">
        <v>10.4</v>
      </c>
      <c r="H7" s="338">
        <v>1.36</v>
      </c>
      <c r="I7" s="338">
        <v>9.0399999999999991</v>
      </c>
      <c r="J7" s="335" t="s">
        <v>386</v>
      </c>
      <c r="K7" s="335" t="s">
        <v>1525</v>
      </c>
      <c r="L7" s="335" t="s">
        <v>318</v>
      </c>
      <c r="M7" s="335" t="s">
        <v>1133</v>
      </c>
      <c r="N7" s="335" t="s">
        <v>1661</v>
      </c>
      <c r="O7" s="335" t="s">
        <v>1662</v>
      </c>
      <c r="P7" s="335" t="s">
        <v>1663</v>
      </c>
      <c r="Q7" t="s">
        <v>73</v>
      </c>
      <c r="R7" t="s">
        <v>134</v>
      </c>
      <c r="S7" t="s">
        <v>1447</v>
      </c>
      <c r="T7" s="280" t="s">
        <v>473</v>
      </c>
    </row>
    <row r="8" spans="1:20" ht="13.5" thickBot="1" x14ac:dyDescent="0.25">
      <c r="A8" s="334">
        <v>43651</v>
      </c>
      <c r="B8" s="335" t="s">
        <v>1666</v>
      </c>
      <c r="C8" s="335" t="s">
        <v>1385</v>
      </c>
      <c r="D8" s="336"/>
      <c r="E8" s="337" t="s">
        <v>1660</v>
      </c>
      <c r="F8" s="338">
        <v>84</v>
      </c>
      <c r="G8" s="338">
        <v>84</v>
      </c>
      <c r="H8" s="338">
        <v>10.96</v>
      </c>
      <c r="I8" s="338">
        <v>73.040000000000006</v>
      </c>
      <c r="J8" s="335">
        <v>3635</v>
      </c>
      <c r="K8" s="335" t="s">
        <v>1525</v>
      </c>
      <c r="L8" s="335" t="s">
        <v>318</v>
      </c>
      <c r="M8" s="335" t="s">
        <v>1110</v>
      </c>
      <c r="N8" s="335" t="s">
        <v>1661</v>
      </c>
      <c r="O8" s="335" t="s">
        <v>1662</v>
      </c>
      <c r="P8" s="335" t="s">
        <v>1663</v>
      </c>
      <c r="Q8" t="s">
        <v>73</v>
      </c>
      <c r="R8" t="s">
        <v>134</v>
      </c>
      <c r="S8" t="s">
        <v>1447</v>
      </c>
      <c r="T8" s="280" t="s">
        <v>473</v>
      </c>
    </row>
    <row r="9" spans="1:20" ht="13.5" thickBot="1" x14ac:dyDescent="0.25">
      <c r="A9" s="334">
        <v>43651</v>
      </c>
      <c r="B9" s="335" t="s">
        <v>1667</v>
      </c>
      <c r="C9" s="335" t="s">
        <v>1357</v>
      </c>
      <c r="D9" s="336"/>
      <c r="E9" s="337" t="s">
        <v>1660</v>
      </c>
      <c r="F9" s="338">
        <v>213.66</v>
      </c>
      <c r="G9" s="338">
        <v>213.66</v>
      </c>
      <c r="H9" s="338">
        <v>27.87</v>
      </c>
      <c r="I9" s="338">
        <v>185.79</v>
      </c>
      <c r="J9" s="335" t="s">
        <v>386</v>
      </c>
      <c r="K9" s="335" t="s">
        <v>1525</v>
      </c>
      <c r="L9" s="335" t="s">
        <v>318</v>
      </c>
      <c r="M9" s="335" t="s">
        <v>1133</v>
      </c>
      <c r="N9" s="335" t="s">
        <v>1661</v>
      </c>
      <c r="O9" s="335" t="s">
        <v>1662</v>
      </c>
      <c r="P9" s="335" t="s">
        <v>1663</v>
      </c>
      <c r="Q9" t="s">
        <v>73</v>
      </c>
      <c r="R9" t="s">
        <v>134</v>
      </c>
      <c r="S9" t="s">
        <v>1447</v>
      </c>
      <c r="T9" s="280" t="s">
        <v>473</v>
      </c>
    </row>
    <row r="10" spans="1:20" ht="13.5" thickBot="1" x14ac:dyDescent="0.25">
      <c r="A10" s="340">
        <v>43671</v>
      </c>
      <c r="B10" s="341" t="s">
        <v>1668</v>
      </c>
      <c r="C10" s="341" t="s">
        <v>1321</v>
      </c>
      <c r="D10" s="342"/>
      <c r="E10" s="343" t="s">
        <v>1660</v>
      </c>
      <c r="F10" s="344">
        <v>394.74</v>
      </c>
      <c r="G10" s="344">
        <v>394.74</v>
      </c>
      <c r="H10" s="344">
        <f>G10/23*3</f>
        <v>51.487826086956524</v>
      </c>
      <c r="I10" s="344">
        <f>G10-H10</f>
        <v>343.25217391304346</v>
      </c>
      <c r="J10" s="341" t="s">
        <v>1669</v>
      </c>
      <c r="K10" s="341" t="s">
        <v>1525</v>
      </c>
      <c r="L10" s="341" t="s">
        <v>318</v>
      </c>
      <c r="M10" s="341" t="s">
        <v>1110</v>
      </c>
      <c r="N10" s="341" t="s">
        <v>1661</v>
      </c>
      <c r="O10" s="341" t="s">
        <v>1662</v>
      </c>
      <c r="P10" s="341" t="s">
        <v>1663</v>
      </c>
      <c r="Q10" s="194"/>
      <c r="R10" s="194"/>
      <c r="S10" s="194" t="s">
        <v>1670</v>
      </c>
    </row>
    <row r="11" spans="1:20" ht="13.5" thickBot="1" x14ac:dyDescent="0.25">
      <c r="A11" s="334">
        <v>43675</v>
      </c>
      <c r="B11" s="335" t="s">
        <v>1094</v>
      </c>
      <c r="C11" s="335" t="s">
        <v>1320</v>
      </c>
      <c r="D11" s="335" t="s">
        <v>1671</v>
      </c>
      <c r="E11" s="337" t="s">
        <v>1660</v>
      </c>
      <c r="F11" s="338">
        <v>600</v>
      </c>
      <c r="G11" s="338">
        <v>600</v>
      </c>
      <c r="H11" s="338">
        <v>0</v>
      </c>
      <c r="I11" s="338">
        <v>600</v>
      </c>
      <c r="J11" s="335" t="s">
        <v>1563</v>
      </c>
      <c r="K11" s="335" t="s">
        <v>1525</v>
      </c>
      <c r="L11" s="335" t="s">
        <v>318</v>
      </c>
      <c r="M11" s="335" t="s">
        <v>1110</v>
      </c>
      <c r="N11" s="335" t="s">
        <v>1661</v>
      </c>
      <c r="O11" s="335" t="s">
        <v>1662</v>
      </c>
      <c r="P11" s="335" t="s">
        <v>1663</v>
      </c>
      <c r="Q11" t="s">
        <v>1564</v>
      </c>
      <c r="R11" t="s">
        <v>137</v>
      </c>
      <c r="S11" t="s">
        <v>1094</v>
      </c>
    </row>
    <row r="12" spans="1:20" ht="13.5" thickBot="1" x14ac:dyDescent="0.25">
      <c r="A12" s="334">
        <v>43685</v>
      </c>
      <c r="B12" s="335" t="s">
        <v>1672</v>
      </c>
      <c r="C12" s="335" t="s">
        <v>1353</v>
      </c>
      <c r="D12" s="339" t="s">
        <v>1673</v>
      </c>
      <c r="E12" s="337" t="s">
        <v>1660</v>
      </c>
      <c r="F12" s="338">
        <v>167</v>
      </c>
      <c r="G12" s="338">
        <v>167</v>
      </c>
      <c r="H12" s="338">
        <v>21.78</v>
      </c>
      <c r="I12" s="338">
        <v>145.22</v>
      </c>
      <c r="J12" s="335" t="s">
        <v>386</v>
      </c>
      <c r="K12" s="335" t="s">
        <v>1525</v>
      </c>
      <c r="L12" s="335" t="s">
        <v>318</v>
      </c>
      <c r="M12" s="335" t="s">
        <v>1133</v>
      </c>
      <c r="N12" s="335" t="s">
        <v>1661</v>
      </c>
      <c r="O12" s="335" t="s">
        <v>1662</v>
      </c>
      <c r="P12" s="335" t="s">
        <v>1663</v>
      </c>
      <c r="Q12" t="s">
        <v>73</v>
      </c>
      <c r="R12" t="s">
        <v>134</v>
      </c>
      <c r="S12" t="s">
        <v>1674</v>
      </c>
      <c r="T12" s="280" t="s">
        <v>473</v>
      </c>
    </row>
    <row r="13" spans="1:20" ht="13.5" thickBot="1" x14ac:dyDescent="0.25">
      <c r="A13" s="334">
        <v>43686</v>
      </c>
      <c r="B13" s="335" t="s">
        <v>1675</v>
      </c>
      <c r="C13" s="335" t="s">
        <v>1676</v>
      </c>
      <c r="D13" s="336" t="s">
        <v>1677</v>
      </c>
      <c r="E13" s="337" t="s">
        <v>1660</v>
      </c>
      <c r="F13" s="338">
        <v>104.55</v>
      </c>
      <c r="G13" s="338">
        <v>104.55</v>
      </c>
      <c r="H13" s="338">
        <v>13.64</v>
      </c>
      <c r="I13" s="338">
        <v>90.91</v>
      </c>
      <c r="J13" s="335" t="s">
        <v>386</v>
      </c>
      <c r="K13" s="335" t="s">
        <v>1525</v>
      </c>
      <c r="L13" s="335" t="s">
        <v>318</v>
      </c>
      <c r="M13" s="335" t="s">
        <v>1133</v>
      </c>
      <c r="N13" s="335" t="s">
        <v>1661</v>
      </c>
      <c r="O13" s="335" t="s">
        <v>1662</v>
      </c>
      <c r="P13" s="335" t="s">
        <v>1678</v>
      </c>
      <c r="Q13" t="s">
        <v>73</v>
      </c>
      <c r="R13" t="s">
        <v>134</v>
      </c>
      <c r="S13" t="s">
        <v>1674</v>
      </c>
      <c r="T13" s="280" t="s">
        <v>473</v>
      </c>
    </row>
    <row r="14" spans="1:20" ht="34.5" thickBot="1" x14ac:dyDescent="0.25">
      <c r="A14" s="334">
        <v>43696</v>
      </c>
      <c r="B14" s="335" t="s">
        <v>1679</v>
      </c>
      <c r="C14" s="335" t="s">
        <v>1411</v>
      </c>
      <c r="D14" s="339" t="s">
        <v>1680</v>
      </c>
      <c r="E14" s="337" t="s">
        <v>1681</v>
      </c>
      <c r="F14" s="338">
        <v>159</v>
      </c>
      <c r="G14" s="338">
        <v>252.84</v>
      </c>
      <c r="H14" s="338">
        <v>0</v>
      </c>
      <c r="I14" s="338">
        <v>252.84</v>
      </c>
      <c r="J14" s="335" t="s">
        <v>1553</v>
      </c>
      <c r="K14" s="335" t="s">
        <v>1525</v>
      </c>
      <c r="L14" s="335" t="s">
        <v>318</v>
      </c>
      <c r="M14" s="335" t="s">
        <v>1410</v>
      </c>
      <c r="N14" s="335" t="s">
        <v>1661</v>
      </c>
      <c r="O14" s="335" t="s">
        <v>1662</v>
      </c>
      <c r="P14" s="335" t="s">
        <v>1678</v>
      </c>
      <c r="Q14" t="s">
        <v>72</v>
      </c>
      <c r="R14" t="s">
        <v>1682</v>
      </c>
      <c r="S14" t="s">
        <v>1683</v>
      </c>
      <c r="T14" s="280" t="s">
        <v>473</v>
      </c>
    </row>
    <row r="15" spans="1:20" ht="13.5" thickBot="1" x14ac:dyDescent="0.25">
      <c r="A15" s="334">
        <v>43696</v>
      </c>
      <c r="B15" s="335" t="s">
        <v>1679</v>
      </c>
      <c r="C15" s="335" t="s">
        <v>1422</v>
      </c>
      <c r="D15" s="335" t="s">
        <v>1684</v>
      </c>
      <c r="E15" s="337" t="s">
        <v>1681</v>
      </c>
      <c r="F15" s="338">
        <v>-159</v>
      </c>
      <c r="G15" s="338">
        <v>-246.65</v>
      </c>
      <c r="H15" s="338">
        <v>0</v>
      </c>
      <c r="I15" s="338">
        <v>-246.65</v>
      </c>
      <c r="J15" s="335" t="s">
        <v>1553</v>
      </c>
      <c r="K15" s="335" t="s">
        <v>1525</v>
      </c>
      <c r="L15" s="335" t="s">
        <v>318</v>
      </c>
      <c r="M15" s="335" t="s">
        <v>1110</v>
      </c>
      <c r="N15" s="335" t="s">
        <v>1661</v>
      </c>
      <c r="O15" s="335" t="s">
        <v>1662</v>
      </c>
      <c r="P15" s="335" t="s">
        <v>1663</v>
      </c>
      <c r="Q15" t="s">
        <v>72</v>
      </c>
      <c r="R15" t="s">
        <v>1682</v>
      </c>
      <c r="S15" t="s">
        <v>1683</v>
      </c>
      <c r="T15" s="280" t="s">
        <v>473</v>
      </c>
    </row>
    <row r="16" spans="1:20" ht="13.5" thickBot="1" x14ac:dyDescent="0.25">
      <c r="A16" s="334">
        <v>43704</v>
      </c>
      <c r="B16" s="335" t="s">
        <v>1685</v>
      </c>
      <c r="C16" s="335" t="s">
        <v>1686</v>
      </c>
      <c r="D16" s="336"/>
      <c r="E16" s="337" t="s">
        <v>1660</v>
      </c>
      <c r="F16" s="338">
        <v>9.5</v>
      </c>
      <c r="G16" s="338">
        <v>9.5</v>
      </c>
      <c r="H16" s="338">
        <v>1.24</v>
      </c>
      <c r="I16" s="338">
        <v>8.26</v>
      </c>
      <c r="J16" s="335" t="s">
        <v>386</v>
      </c>
      <c r="K16" s="335" t="s">
        <v>1525</v>
      </c>
      <c r="L16" s="335" t="s">
        <v>318</v>
      </c>
      <c r="M16" s="335" t="s">
        <v>1367</v>
      </c>
      <c r="N16" s="335" t="s">
        <v>1661</v>
      </c>
      <c r="O16" s="335" t="s">
        <v>1662</v>
      </c>
      <c r="P16" s="335" t="s">
        <v>1687</v>
      </c>
      <c r="Q16" t="s">
        <v>73</v>
      </c>
      <c r="R16" t="s">
        <v>1688</v>
      </c>
      <c r="S16" t="s">
        <v>1689</v>
      </c>
      <c r="T16" s="280" t="s">
        <v>473</v>
      </c>
    </row>
    <row r="17" spans="1:20" ht="13.5" thickBot="1" x14ac:dyDescent="0.25">
      <c r="A17" s="334">
        <v>43704</v>
      </c>
      <c r="B17" s="335" t="s">
        <v>1690</v>
      </c>
      <c r="C17" s="335" t="s">
        <v>1369</v>
      </c>
      <c r="D17" s="336"/>
      <c r="E17" s="337" t="s">
        <v>1660</v>
      </c>
      <c r="F17" s="338">
        <v>25.6</v>
      </c>
      <c r="G17" s="338">
        <v>25.6</v>
      </c>
      <c r="H17" s="338">
        <v>3.34</v>
      </c>
      <c r="I17" s="338">
        <v>22.26</v>
      </c>
      <c r="J17" s="335" t="s">
        <v>386</v>
      </c>
      <c r="K17" s="335" t="s">
        <v>1525</v>
      </c>
      <c r="L17" s="335" t="s">
        <v>318</v>
      </c>
      <c r="M17" s="335" t="s">
        <v>1367</v>
      </c>
      <c r="N17" s="335" t="s">
        <v>1661</v>
      </c>
      <c r="O17" s="335" t="s">
        <v>1662</v>
      </c>
      <c r="P17" s="335" t="s">
        <v>1663</v>
      </c>
      <c r="Q17" t="s">
        <v>73</v>
      </c>
      <c r="R17" t="s">
        <v>1688</v>
      </c>
      <c r="S17" t="s">
        <v>1689</v>
      </c>
      <c r="T17" s="280" t="s">
        <v>473</v>
      </c>
    </row>
    <row r="18" spans="1:20" ht="13.5" thickBot="1" x14ac:dyDescent="0.25">
      <c r="A18" s="334">
        <v>43704</v>
      </c>
      <c r="B18" s="335" t="s">
        <v>1691</v>
      </c>
      <c r="C18" s="335" t="s">
        <v>1370</v>
      </c>
      <c r="D18" s="339" t="s">
        <v>1692</v>
      </c>
      <c r="E18" s="337" t="s">
        <v>1660</v>
      </c>
      <c r="F18" s="338">
        <v>48.8</v>
      </c>
      <c r="G18" s="338">
        <v>48.8</v>
      </c>
      <c r="H18" s="338">
        <v>6.37</v>
      </c>
      <c r="I18" s="338">
        <v>42.43</v>
      </c>
      <c r="J18" s="335" t="s">
        <v>386</v>
      </c>
      <c r="K18" s="335" t="s">
        <v>1525</v>
      </c>
      <c r="L18" s="335" t="s">
        <v>318</v>
      </c>
      <c r="M18" s="335" t="s">
        <v>1367</v>
      </c>
      <c r="N18" s="335" t="s">
        <v>1661</v>
      </c>
      <c r="O18" s="335" t="s">
        <v>1662</v>
      </c>
      <c r="P18" s="335" t="s">
        <v>1687</v>
      </c>
      <c r="Q18" t="s">
        <v>73</v>
      </c>
      <c r="R18" t="s">
        <v>1688</v>
      </c>
      <c r="S18" t="s">
        <v>1689</v>
      </c>
      <c r="T18" s="280" t="s">
        <v>473</v>
      </c>
    </row>
    <row r="19" spans="1:20" ht="13.5" thickBot="1" x14ac:dyDescent="0.25">
      <c r="A19" s="334">
        <v>43704</v>
      </c>
      <c r="B19" s="335" t="s">
        <v>1693</v>
      </c>
      <c r="C19" s="335" t="s">
        <v>1362</v>
      </c>
      <c r="D19" s="336"/>
      <c r="E19" s="337" t="s">
        <v>1660</v>
      </c>
      <c r="F19" s="338">
        <v>67</v>
      </c>
      <c r="G19" s="338">
        <v>67</v>
      </c>
      <c r="H19" s="338">
        <v>8.74</v>
      </c>
      <c r="I19" s="338">
        <v>58.26</v>
      </c>
      <c r="J19" s="335" t="s">
        <v>386</v>
      </c>
      <c r="K19" s="335" t="s">
        <v>1525</v>
      </c>
      <c r="L19" s="335" t="s">
        <v>318</v>
      </c>
      <c r="M19" s="335" t="s">
        <v>493</v>
      </c>
      <c r="N19" s="335" t="s">
        <v>1661</v>
      </c>
      <c r="O19" s="335" t="s">
        <v>1662</v>
      </c>
      <c r="P19" s="335" t="s">
        <v>1687</v>
      </c>
      <c r="Q19" t="s">
        <v>73</v>
      </c>
      <c r="R19" t="s">
        <v>1593</v>
      </c>
      <c r="S19" t="s">
        <v>1689</v>
      </c>
      <c r="T19" s="280" t="s">
        <v>473</v>
      </c>
    </row>
    <row r="20" spans="1:20" ht="13.5" thickBot="1" x14ac:dyDescent="0.25">
      <c r="A20" s="334">
        <v>43704</v>
      </c>
      <c r="B20" s="335" t="s">
        <v>1694</v>
      </c>
      <c r="C20" s="335" t="s">
        <v>1371</v>
      </c>
      <c r="D20" s="339" t="s">
        <v>1692</v>
      </c>
      <c r="E20" s="337" t="s">
        <v>1660</v>
      </c>
      <c r="F20" s="338">
        <v>11</v>
      </c>
      <c r="G20" s="338">
        <v>11</v>
      </c>
      <c r="H20" s="338">
        <v>1.43</v>
      </c>
      <c r="I20" s="338">
        <v>9.57</v>
      </c>
      <c r="J20" s="335" t="s">
        <v>386</v>
      </c>
      <c r="K20" s="335" t="s">
        <v>1525</v>
      </c>
      <c r="L20" s="335" t="s">
        <v>318</v>
      </c>
      <c r="M20" s="335" t="s">
        <v>1367</v>
      </c>
      <c r="N20" s="335" t="s">
        <v>1661</v>
      </c>
      <c r="O20" s="335" t="s">
        <v>1662</v>
      </c>
      <c r="P20" s="335" t="s">
        <v>1687</v>
      </c>
      <c r="Q20" t="s">
        <v>73</v>
      </c>
      <c r="R20" t="s">
        <v>1688</v>
      </c>
      <c r="S20" t="s">
        <v>1689</v>
      </c>
      <c r="T20" s="280" t="s">
        <v>473</v>
      </c>
    </row>
    <row r="21" spans="1:20" ht="13.5" thickBot="1" x14ac:dyDescent="0.25">
      <c r="A21" s="334">
        <v>43705</v>
      </c>
      <c r="B21" s="335" t="s">
        <v>1695</v>
      </c>
      <c r="C21" s="335" t="s">
        <v>1365</v>
      </c>
      <c r="D21" s="336"/>
      <c r="E21" s="337" t="s">
        <v>1660</v>
      </c>
      <c r="F21" s="338">
        <v>35</v>
      </c>
      <c r="G21" s="338">
        <v>35</v>
      </c>
      <c r="H21" s="338">
        <v>4.57</v>
      </c>
      <c r="I21" s="338">
        <v>30.43</v>
      </c>
      <c r="J21" s="335" t="s">
        <v>386</v>
      </c>
      <c r="K21" s="335" t="s">
        <v>1525</v>
      </c>
      <c r="L21" s="335" t="s">
        <v>318</v>
      </c>
      <c r="M21" s="335" t="s">
        <v>493</v>
      </c>
      <c r="N21" s="335" t="s">
        <v>1661</v>
      </c>
      <c r="O21" s="335" t="s">
        <v>1662</v>
      </c>
      <c r="P21" s="335" t="s">
        <v>1678</v>
      </c>
      <c r="Q21" t="s">
        <v>73</v>
      </c>
      <c r="R21" t="s">
        <v>1593</v>
      </c>
      <c r="S21" t="s">
        <v>1689</v>
      </c>
      <c r="T21" s="280" t="s">
        <v>473</v>
      </c>
    </row>
    <row r="22" spans="1:20" ht="13.5" thickBot="1" x14ac:dyDescent="0.25">
      <c r="A22" s="334">
        <v>43706</v>
      </c>
      <c r="B22" s="335" t="s">
        <v>1696</v>
      </c>
      <c r="C22" s="335" t="s">
        <v>1363</v>
      </c>
      <c r="D22" s="339" t="s">
        <v>1697</v>
      </c>
      <c r="E22" s="337" t="s">
        <v>1660</v>
      </c>
      <c r="F22" s="338">
        <v>19.670000000000002</v>
      </c>
      <c r="G22" s="338">
        <v>19.670000000000002</v>
      </c>
      <c r="H22" s="338">
        <v>2.57</v>
      </c>
      <c r="I22" s="338">
        <v>17.100000000000001</v>
      </c>
      <c r="J22" s="335" t="s">
        <v>386</v>
      </c>
      <c r="K22" s="335" t="s">
        <v>1525</v>
      </c>
      <c r="L22" s="335" t="s">
        <v>318</v>
      </c>
      <c r="M22" s="335" t="s">
        <v>493</v>
      </c>
      <c r="N22" s="335" t="s">
        <v>1661</v>
      </c>
      <c r="O22" s="335" t="s">
        <v>1662</v>
      </c>
      <c r="P22" s="335" t="s">
        <v>1687</v>
      </c>
      <c r="Q22" t="s">
        <v>73</v>
      </c>
      <c r="R22" t="s">
        <v>1593</v>
      </c>
      <c r="S22" t="s">
        <v>1689</v>
      </c>
      <c r="T22" s="280" t="s">
        <v>473</v>
      </c>
    </row>
    <row r="23" spans="1:20" ht="13.5" thickBot="1" x14ac:dyDescent="0.25">
      <c r="A23" s="334">
        <v>43706</v>
      </c>
      <c r="B23" s="335" t="s">
        <v>1698</v>
      </c>
      <c r="C23" s="335" t="s">
        <v>1389</v>
      </c>
      <c r="D23" s="336"/>
      <c r="E23" s="337" t="s">
        <v>1660</v>
      </c>
      <c r="F23" s="338">
        <v>88.5</v>
      </c>
      <c r="G23" s="338">
        <v>88.5</v>
      </c>
      <c r="H23" s="338">
        <v>11.54</v>
      </c>
      <c r="I23" s="338">
        <v>76.959999999999994</v>
      </c>
      <c r="J23" s="335" t="s">
        <v>398</v>
      </c>
      <c r="K23" s="335" t="s">
        <v>1525</v>
      </c>
      <c r="L23" s="335" t="s">
        <v>318</v>
      </c>
      <c r="M23" s="335" t="s">
        <v>1133</v>
      </c>
      <c r="N23" s="335" t="s">
        <v>1661</v>
      </c>
      <c r="O23" s="335" t="s">
        <v>1662</v>
      </c>
      <c r="P23" s="335" t="s">
        <v>1687</v>
      </c>
      <c r="Q23" t="s">
        <v>73</v>
      </c>
      <c r="R23" t="s">
        <v>134</v>
      </c>
      <c r="S23" t="s">
        <v>1689</v>
      </c>
      <c r="T23" s="280" t="s">
        <v>473</v>
      </c>
    </row>
    <row r="24" spans="1:20" ht="13.5" thickBot="1" x14ac:dyDescent="0.25">
      <c r="A24" s="334">
        <v>43706</v>
      </c>
      <c r="B24" s="335" t="s">
        <v>1699</v>
      </c>
      <c r="C24" s="335" t="s">
        <v>1364</v>
      </c>
      <c r="D24" s="335" t="s">
        <v>1700</v>
      </c>
      <c r="E24" s="337" t="s">
        <v>1660</v>
      </c>
      <c r="F24" s="338">
        <v>58.5</v>
      </c>
      <c r="G24" s="338">
        <v>58.5</v>
      </c>
      <c r="H24" s="338">
        <v>7.63</v>
      </c>
      <c r="I24" s="338">
        <v>50.87</v>
      </c>
      <c r="J24" s="335" t="s">
        <v>386</v>
      </c>
      <c r="K24" s="335" t="s">
        <v>1525</v>
      </c>
      <c r="L24" s="335" t="s">
        <v>318</v>
      </c>
      <c r="M24" s="335" t="s">
        <v>493</v>
      </c>
      <c r="N24" s="335" t="s">
        <v>1661</v>
      </c>
      <c r="O24" s="335" t="s">
        <v>1662</v>
      </c>
      <c r="P24" s="335" t="s">
        <v>1687</v>
      </c>
      <c r="Q24" t="s">
        <v>73</v>
      </c>
      <c r="R24" t="s">
        <v>1593</v>
      </c>
      <c r="S24" t="s">
        <v>1689</v>
      </c>
      <c r="T24" s="280" t="s">
        <v>473</v>
      </c>
    </row>
    <row r="25" spans="1:20" ht="13.5" thickBot="1" x14ac:dyDescent="0.25">
      <c r="A25" s="334">
        <v>43707</v>
      </c>
      <c r="B25" s="335" t="s">
        <v>1659</v>
      </c>
      <c r="C25" s="335" t="s">
        <v>1354</v>
      </c>
      <c r="D25" s="335" t="s">
        <v>1625</v>
      </c>
      <c r="E25" s="337" t="s">
        <v>1660</v>
      </c>
      <c r="F25" s="338">
        <v>23</v>
      </c>
      <c r="G25" s="338">
        <v>23</v>
      </c>
      <c r="H25" s="338">
        <v>3</v>
      </c>
      <c r="I25" s="338">
        <v>20</v>
      </c>
      <c r="J25" s="335" t="s">
        <v>386</v>
      </c>
      <c r="K25" s="335" t="s">
        <v>1525</v>
      </c>
      <c r="L25" s="335" t="s">
        <v>318</v>
      </c>
      <c r="M25" s="335" t="s">
        <v>1133</v>
      </c>
      <c r="N25" s="335" t="s">
        <v>1661</v>
      </c>
      <c r="O25" s="335" t="s">
        <v>1662</v>
      </c>
      <c r="P25" s="335" t="s">
        <v>1687</v>
      </c>
      <c r="Q25" t="s">
        <v>73</v>
      </c>
      <c r="R25" t="s">
        <v>134</v>
      </c>
      <c r="S25" t="s">
        <v>1689</v>
      </c>
      <c r="T25" s="280" t="s">
        <v>473</v>
      </c>
    </row>
    <row r="26" spans="1:20" ht="13.5" thickBot="1" x14ac:dyDescent="0.25">
      <c r="A26" s="334">
        <v>43720</v>
      </c>
      <c r="B26" s="335" t="s">
        <v>1701</v>
      </c>
      <c r="C26" s="335" t="s">
        <v>1385</v>
      </c>
      <c r="D26" s="335" t="s">
        <v>1702</v>
      </c>
      <c r="E26" s="337" t="s">
        <v>1660</v>
      </c>
      <c r="F26" s="338">
        <v>5</v>
      </c>
      <c r="G26" s="338">
        <v>5</v>
      </c>
      <c r="H26" s="338">
        <v>0.65</v>
      </c>
      <c r="I26" s="338">
        <v>4.3499999999999996</v>
      </c>
      <c r="J26" s="335">
        <v>3620</v>
      </c>
      <c r="K26" s="335" t="s">
        <v>1525</v>
      </c>
      <c r="L26" s="335" t="s">
        <v>318</v>
      </c>
      <c r="M26" s="335" t="s">
        <v>1110</v>
      </c>
      <c r="N26" s="335" t="s">
        <v>1661</v>
      </c>
      <c r="O26" s="335" t="s">
        <v>1662</v>
      </c>
      <c r="P26" s="335" t="s">
        <v>1678</v>
      </c>
      <c r="Q26" t="s">
        <v>74</v>
      </c>
      <c r="R26" t="s">
        <v>137</v>
      </c>
      <c r="S26" t="s">
        <v>1703</v>
      </c>
      <c r="T26" s="280" t="s">
        <v>473</v>
      </c>
    </row>
    <row r="27" spans="1:20" ht="13.5" thickBot="1" x14ac:dyDescent="0.25">
      <c r="A27" s="334">
        <v>43725</v>
      </c>
      <c r="B27" s="335" t="s">
        <v>1704</v>
      </c>
      <c r="C27" s="335" t="s">
        <v>1420</v>
      </c>
      <c r="D27" s="336"/>
      <c r="E27" s="337" t="s">
        <v>1705</v>
      </c>
      <c r="F27" s="338">
        <v>17300</v>
      </c>
      <c r="G27" s="338">
        <v>23.58</v>
      </c>
      <c r="H27" s="338">
        <v>0</v>
      </c>
      <c r="I27" s="338">
        <v>23.58</v>
      </c>
      <c r="J27" s="335" t="s">
        <v>1553</v>
      </c>
      <c r="K27" s="335" t="s">
        <v>1525</v>
      </c>
      <c r="L27" s="335" t="s">
        <v>318</v>
      </c>
      <c r="M27" s="335" t="s">
        <v>1232</v>
      </c>
      <c r="N27" s="335" t="s">
        <v>1661</v>
      </c>
      <c r="O27" s="335" t="s">
        <v>1662</v>
      </c>
      <c r="P27" s="335" t="s">
        <v>1663</v>
      </c>
      <c r="Q27" t="s">
        <v>72</v>
      </c>
      <c r="R27" t="s">
        <v>1706</v>
      </c>
      <c r="S27" t="s">
        <v>1707</v>
      </c>
      <c r="T27" s="280" t="s">
        <v>473</v>
      </c>
    </row>
    <row r="28" spans="1:20" ht="13.5" thickBot="1" x14ac:dyDescent="0.25">
      <c r="A28" s="334">
        <v>43727</v>
      </c>
      <c r="B28" s="335" t="s">
        <v>1708</v>
      </c>
      <c r="C28" s="335" t="s">
        <v>1419</v>
      </c>
      <c r="D28" s="335" t="s">
        <v>1709</v>
      </c>
      <c r="E28" s="337" t="s">
        <v>1710</v>
      </c>
      <c r="F28" s="338">
        <v>36850</v>
      </c>
      <c r="G28" s="338">
        <v>558.16999999999996</v>
      </c>
      <c r="H28" s="338">
        <v>0</v>
      </c>
      <c r="I28" s="338">
        <v>558.16999999999996</v>
      </c>
      <c r="J28" s="335" t="s">
        <v>1553</v>
      </c>
      <c r="K28" s="335" t="s">
        <v>1525</v>
      </c>
      <c r="L28" s="335" t="s">
        <v>318</v>
      </c>
      <c r="M28" s="335" t="s">
        <v>1418</v>
      </c>
      <c r="N28" s="335" t="s">
        <v>1661</v>
      </c>
      <c r="O28" s="335" t="s">
        <v>1662</v>
      </c>
      <c r="P28" s="335" t="s">
        <v>1663</v>
      </c>
      <c r="Q28" t="s">
        <v>72</v>
      </c>
      <c r="R28" t="s">
        <v>1711</v>
      </c>
      <c r="S28" t="s">
        <v>1488</v>
      </c>
      <c r="T28" s="280" t="s">
        <v>473</v>
      </c>
    </row>
    <row r="29" spans="1:20" ht="13.5" thickBot="1" x14ac:dyDescent="0.25">
      <c r="A29" s="334">
        <v>43727</v>
      </c>
      <c r="B29" s="335" t="s">
        <v>1712</v>
      </c>
      <c r="C29" s="335" t="s">
        <v>1421</v>
      </c>
      <c r="D29" s="336"/>
      <c r="E29" s="337" t="s">
        <v>1705</v>
      </c>
      <c r="F29" s="338">
        <v>1030000</v>
      </c>
      <c r="G29" s="338">
        <v>1409.67</v>
      </c>
      <c r="H29" s="338">
        <v>0</v>
      </c>
      <c r="I29" s="338">
        <v>1409.67</v>
      </c>
      <c r="J29" s="335" t="s">
        <v>1553</v>
      </c>
      <c r="K29" s="335" t="s">
        <v>1525</v>
      </c>
      <c r="L29" s="335" t="s">
        <v>318</v>
      </c>
      <c r="M29" s="335" t="s">
        <v>1232</v>
      </c>
      <c r="N29" s="335" t="s">
        <v>1661</v>
      </c>
      <c r="O29" s="335" t="s">
        <v>1662</v>
      </c>
      <c r="P29" s="335" t="s">
        <v>1663</v>
      </c>
      <c r="Q29" t="s">
        <v>72</v>
      </c>
      <c r="R29" t="s">
        <v>1713</v>
      </c>
      <c r="S29" t="s">
        <v>1707</v>
      </c>
      <c r="T29" s="280" t="s">
        <v>473</v>
      </c>
    </row>
    <row r="30" spans="1:20" ht="13.5" thickBot="1" x14ac:dyDescent="0.25">
      <c r="A30" s="334">
        <v>43730</v>
      </c>
      <c r="B30" s="335" t="s">
        <v>1714</v>
      </c>
      <c r="C30" s="335" t="s">
        <v>1419</v>
      </c>
      <c r="D30" s="336"/>
      <c r="E30" s="337" t="s">
        <v>1710</v>
      </c>
      <c r="F30" s="338">
        <v>130293</v>
      </c>
      <c r="G30" s="338">
        <v>1979.1</v>
      </c>
      <c r="H30" s="338">
        <v>0</v>
      </c>
      <c r="I30" s="338">
        <v>1979.1</v>
      </c>
      <c r="J30" s="335" t="s">
        <v>1553</v>
      </c>
      <c r="K30" s="335" t="s">
        <v>1525</v>
      </c>
      <c r="L30" s="335" t="s">
        <v>318</v>
      </c>
      <c r="M30" s="335" t="s">
        <v>1418</v>
      </c>
      <c r="N30" s="335" t="s">
        <v>1661</v>
      </c>
      <c r="O30" s="335" t="s">
        <v>1662</v>
      </c>
      <c r="P30" s="335" t="s">
        <v>1663</v>
      </c>
      <c r="Q30" t="s">
        <v>72</v>
      </c>
      <c r="R30" t="s">
        <v>1711</v>
      </c>
      <c r="S30" t="s">
        <v>1488</v>
      </c>
      <c r="T30" s="280" t="s">
        <v>473</v>
      </c>
    </row>
    <row r="31" spans="1:20" ht="13.5" thickBot="1" x14ac:dyDescent="0.25">
      <c r="A31" s="334">
        <v>43732</v>
      </c>
      <c r="B31" s="335" t="s">
        <v>1715</v>
      </c>
      <c r="C31" s="335" t="s">
        <v>1414</v>
      </c>
      <c r="D31" s="336"/>
      <c r="E31" s="337" t="s">
        <v>1660</v>
      </c>
      <c r="F31" s="338">
        <v>34.659999999999997</v>
      </c>
      <c r="G31" s="338">
        <v>34.659999999999997</v>
      </c>
      <c r="H31" s="338">
        <v>0</v>
      </c>
      <c r="I31" s="338">
        <v>34.659999999999997</v>
      </c>
      <c r="J31" s="335" t="s">
        <v>1553</v>
      </c>
      <c r="K31" s="335" t="s">
        <v>1525</v>
      </c>
      <c r="L31" s="335" t="s">
        <v>318</v>
      </c>
      <c r="M31" s="335" t="s">
        <v>1410</v>
      </c>
      <c r="N31" s="335" t="s">
        <v>1661</v>
      </c>
      <c r="O31" s="335" t="s">
        <v>1662</v>
      </c>
      <c r="P31" s="335" t="s">
        <v>1663</v>
      </c>
      <c r="Q31" t="s">
        <v>72</v>
      </c>
      <c r="R31" t="s">
        <v>1716</v>
      </c>
      <c r="S31" t="s">
        <v>1683</v>
      </c>
      <c r="T31" s="280" t="s">
        <v>473</v>
      </c>
    </row>
    <row r="32" spans="1:20" ht="13.5" thickBot="1" x14ac:dyDescent="0.25">
      <c r="A32" s="340">
        <v>43734</v>
      </c>
      <c r="B32" s="341" t="s">
        <v>1717</v>
      </c>
      <c r="C32" s="341" t="s">
        <v>1415</v>
      </c>
      <c r="D32" s="341" t="s">
        <v>1718</v>
      </c>
      <c r="E32" s="343" t="s">
        <v>1719</v>
      </c>
      <c r="F32" s="344">
        <v>694</v>
      </c>
      <c r="G32" s="344">
        <v>15.93</v>
      </c>
      <c r="H32" s="344">
        <v>0</v>
      </c>
      <c r="I32" s="344">
        <v>15.93</v>
      </c>
      <c r="J32" s="341" t="s">
        <v>1553</v>
      </c>
      <c r="K32" s="341" t="s">
        <v>1525</v>
      </c>
      <c r="L32" s="341" t="s">
        <v>318</v>
      </c>
      <c r="M32" s="341" t="s">
        <v>1410</v>
      </c>
      <c r="N32" s="341" t="s">
        <v>1661</v>
      </c>
      <c r="O32" s="341" t="s">
        <v>1662</v>
      </c>
      <c r="P32" s="341" t="s">
        <v>1678</v>
      </c>
      <c r="Q32" s="194"/>
      <c r="R32" s="194"/>
      <c r="S32" s="194" t="s">
        <v>1720</v>
      </c>
    </row>
    <row r="33" spans="1:20" ht="13.5" thickBot="1" x14ac:dyDescent="0.25">
      <c r="A33" s="334">
        <v>43734</v>
      </c>
      <c r="B33" s="335" t="s">
        <v>1721</v>
      </c>
      <c r="C33" s="335" t="s">
        <v>1417</v>
      </c>
      <c r="D33" s="336"/>
      <c r="E33" s="337" t="s">
        <v>1719</v>
      </c>
      <c r="F33" s="338">
        <v>9803.44</v>
      </c>
      <c r="G33" s="338">
        <v>224.99</v>
      </c>
      <c r="H33" s="338">
        <v>0</v>
      </c>
      <c r="I33" s="338">
        <v>224.99</v>
      </c>
      <c r="J33" s="335" t="s">
        <v>1553</v>
      </c>
      <c r="K33" s="335" t="s">
        <v>1525</v>
      </c>
      <c r="L33" s="335" t="s">
        <v>318</v>
      </c>
      <c r="M33" s="335" t="s">
        <v>1410</v>
      </c>
      <c r="N33" s="335" t="s">
        <v>1661</v>
      </c>
      <c r="O33" s="335" t="s">
        <v>1662</v>
      </c>
      <c r="P33" s="335" t="s">
        <v>1663</v>
      </c>
      <c r="Q33" t="s">
        <v>72</v>
      </c>
      <c r="R33" t="s">
        <v>1716</v>
      </c>
      <c r="S33" t="s">
        <v>1683</v>
      </c>
      <c r="T33" s="280" t="s">
        <v>473</v>
      </c>
    </row>
    <row r="34" spans="1:20" ht="13.5" thickBot="1" x14ac:dyDescent="0.25">
      <c r="A34" s="334">
        <v>43735</v>
      </c>
      <c r="B34" s="335" t="s">
        <v>1722</v>
      </c>
      <c r="C34" s="335" t="s">
        <v>1320</v>
      </c>
      <c r="D34" s="335" t="s">
        <v>1723</v>
      </c>
      <c r="E34" s="337" t="s">
        <v>1660</v>
      </c>
      <c r="F34" s="338">
        <v>209</v>
      </c>
      <c r="G34" s="338">
        <v>209</v>
      </c>
      <c r="H34" s="338">
        <v>27.26</v>
      </c>
      <c r="I34" s="338">
        <v>181.74</v>
      </c>
      <c r="J34" s="335" t="s">
        <v>1563</v>
      </c>
      <c r="K34" s="335" t="s">
        <v>1525</v>
      </c>
      <c r="L34" s="335" t="s">
        <v>318</v>
      </c>
      <c r="M34" s="335" t="s">
        <v>1110</v>
      </c>
      <c r="N34" s="335" t="s">
        <v>1661</v>
      </c>
      <c r="O34" s="335" t="s">
        <v>1662</v>
      </c>
      <c r="P34" s="335" t="s">
        <v>1678</v>
      </c>
      <c r="Q34" t="s">
        <v>1564</v>
      </c>
      <c r="R34" t="s">
        <v>137</v>
      </c>
      <c r="S34" t="s">
        <v>1724</v>
      </c>
    </row>
    <row r="35" spans="1:20" s="194" customFormat="1" ht="13.5" hidden="1" thickBot="1" x14ac:dyDescent="0.25">
      <c r="A35" s="340">
        <v>43743</v>
      </c>
      <c r="B35" s="341" t="s">
        <v>1725</v>
      </c>
      <c r="C35" s="342"/>
      <c r="D35" s="342"/>
      <c r="E35" s="343" t="s">
        <v>1660</v>
      </c>
      <c r="F35" s="344">
        <v>-31.02</v>
      </c>
      <c r="G35" s="344">
        <v>-31.02</v>
      </c>
      <c r="H35" s="344">
        <v>-4.05</v>
      </c>
      <c r="I35" s="344">
        <v>-26.97</v>
      </c>
      <c r="J35" s="341" t="s">
        <v>1726</v>
      </c>
      <c r="K35" s="341" t="s">
        <v>1525</v>
      </c>
      <c r="L35" s="342"/>
      <c r="M35" s="342"/>
      <c r="N35" s="341" t="s">
        <v>1727</v>
      </c>
      <c r="O35" s="342"/>
      <c r="P35" s="341" t="s">
        <v>1678</v>
      </c>
    </row>
    <row r="36" spans="1:20" s="194" customFormat="1" ht="13.5" hidden="1" thickBot="1" x14ac:dyDescent="0.25">
      <c r="A36" s="340">
        <v>43743</v>
      </c>
      <c r="B36" s="341" t="s">
        <v>1725</v>
      </c>
      <c r="C36" s="342"/>
      <c r="D36" s="342"/>
      <c r="E36" s="343" t="s">
        <v>1660</v>
      </c>
      <c r="F36" s="344">
        <v>31.02</v>
      </c>
      <c r="G36" s="344">
        <v>31.02</v>
      </c>
      <c r="H36" s="344">
        <v>4.05</v>
      </c>
      <c r="I36" s="344">
        <v>26.97</v>
      </c>
      <c r="J36" s="341" t="s">
        <v>1726</v>
      </c>
      <c r="K36" s="341" t="s">
        <v>1525</v>
      </c>
      <c r="L36" s="342"/>
      <c r="M36" s="342"/>
      <c r="N36" s="341" t="s">
        <v>1727</v>
      </c>
      <c r="O36" s="342"/>
      <c r="P36" s="341" t="s">
        <v>1678</v>
      </c>
    </row>
    <row r="37" spans="1:20" s="194" customFormat="1" ht="13.5" hidden="1" thickBot="1" x14ac:dyDescent="0.25">
      <c r="A37" s="340">
        <v>43756</v>
      </c>
      <c r="B37" s="341" t="s">
        <v>1728</v>
      </c>
      <c r="C37" s="342"/>
      <c r="D37" s="342"/>
      <c r="E37" s="343" t="s">
        <v>1660</v>
      </c>
      <c r="F37" s="344">
        <v>16.2</v>
      </c>
      <c r="G37" s="344">
        <v>16.2</v>
      </c>
      <c r="H37" s="344">
        <v>0</v>
      </c>
      <c r="I37" s="344">
        <v>16.2</v>
      </c>
      <c r="J37" s="342"/>
      <c r="K37" s="341" t="s">
        <v>1525</v>
      </c>
      <c r="L37" s="342"/>
      <c r="M37" s="342"/>
      <c r="N37" s="341" t="s">
        <v>1727</v>
      </c>
      <c r="O37" s="342"/>
      <c r="P37" s="341" t="s">
        <v>1678</v>
      </c>
    </row>
    <row r="38" spans="1:20" s="194" customFormat="1" ht="13.5" hidden="1" thickBot="1" x14ac:dyDescent="0.25">
      <c r="A38" s="340">
        <v>43756</v>
      </c>
      <c r="B38" s="341" t="s">
        <v>1666</v>
      </c>
      <c r="C38" s="342"/>
      <c r="D38" s="342"/>
      <c r="E38" s="343" t="s">
        <v>1660</v>
      </c>
      <c r="F38" s="344">
        <v>45</v>
      </c>
      <c r="G38" s="344">
        <v>45</v>
      </c>
      <c r="H38" s="344">
        <v>5.87</v>
      </c>
      <c r="I38" s="344">
        <v>39.130000000000003</v>
      </c>
      <c r="J38" s="341" t="s">
        <v>386</v>
      </c>
      <c r="K38" s="341" t="s">
        <v>1525</v>
      </c>
      <c r="L38" s="342"/>
      <c r="M38" s="342"/>
      <c r="N38" s="341" t="s">
        <v>1727</v>
      </c>
      <c r="O38" s="342"/>
      <c r="P38" s="341" t="s">
        <v>1678</v>
      </c>
    </row>
    <row r="39" spans="1:20" s="194" customFormat="1" ht="13.5" hidden="1" thickBot="1" x14ac:dyDescent="0.25">
      <c r="A39" s="340">
        <v>43756</v>
      </c>
      <c r="B39" s="341" t="s">
        <v>1729</v>
      </c>
      <c r="C39" s="342"/>
      <c r="D39" s="342"/>
      <c r="E39" s="343" t="s">
        <v>1660</v>
      </c>
      <c r="F39" s="344">
        <v>50.6</v>
      </c>
      <c r="G39" s="344">
        <v>50.6</v>
      </c>
      <c r="H39" s="344">
        <v>6.6</v>
      </c>
      <c r="I39" s="344">
        <v>44</v>
      </c>
      <c r="J39" s="341" t="s">
        <v>662</v>
      </c>
      <c r="K39" s="341" t="s">
        <v>1525</v>
      </c>
      <c r="L39" s="342"/>
      <c r="M39" s="342"/>
      <c r="N39" s="341" t="s">
        <v>1727</v>
      </c>
      <c r="O39" s="342"/>
      <c r="P39" s="341" t="s">
        <v>1678</v>
      </c>
    </row>
    <row r="40" spans="1:20" s="194" customFormat="1" ht="13.5" hidden="1" thickBot="1" x14ac:dyDescent="0.25">
      <c r="A40" s="340">
        <v>43762</v>
      </c>
      <c r="B40" s="341" t="s">
        <v>1730</v>
      </c>
      <c r="C40" s="342"/>
      <c r="D40" s="342"/>
      <c r="E40" s="343" t="s">
        <v>1660</v>
      </c>
      <c r="F40" s="344">
        <v>9</v>
      </c>
      <c r="G40" s="344">
        <v>9</v>
      </c>
      <c r="H40" s="344">
        <v>0</v>
      </c>
      <c r="I40" s="344">
        <v>9</v>
      </c>
      <c r="J40" s="342"/>
      <c r="K40" s="341" t="s">
        <v>1525</v>
      </c>
      <c r="L40" s="342"/>
      <c r="M40" s="342"/>
      <c r="N40" s="341" t="s">
        <v>1727</v>
      </c>
      <c r="O40" s="342"/>
      <c r="P40" s="341" t="s">
        <v>1678</v>
      </c>
    </row>
    <row r="41" spans="1:20" hidden="1" x14ac:dyDescent="0.2">
      <c r="A41" s="877">
        <v>43775</v>
      </c>
      <c r="B41" s="878"/>
      <c r="C41" s="878"/>
      <c r="D41" s="878"/>
      <c r="E41" s="878"/>
      <c r="F41" s="878"/>
      <c r="G41" s="878"/>
      <c r="H41" s="878"/>
      <c r="I41" s="879">
        <v>1</v>
      </c>
      <c r="J41" s="878"/>
      <c r="K41" s="878"/>
      <c r="L41" s="878"/>
      <c r="M41" s="878"/>
      <c r="N41" s="878"/>
      <c r="O41" s="878"/>
      <c r="P41" s="346">
        <v>0.59532406999999998</v>
      </c>
    </row>
  </sheetData>
  <autoFilter ref="A4:V41" xr:uid="{261C2955-4FB0-4B97-ABC9-41E501BDFD54}">
    <filterColumn colId="13">
      <filters>
        <filter val="Approved"/>
      </filters>
    </filterColumn>
  </autoFilter>
  <mergeCells count="5">
    <mergeCell ref="A41:H41"/>
    <mergeCell ref="I41:O41"/>
    <mergeCell ref="A1:S1"/>
    <mergeCell ref="A2:S2"/>
    <mergeCell ref="A3:S3"/>
  </mergeCells>
  <pageMargins left="0.31" right="0.28999999999999998" top="0.74803149606299213" bottom="0.74803149606299213" header="0.31496062992125984" footer="0.31496062992125984"/>
  <pageSetup paperSize="8" scale="52" orientation="landscape" r:id="rId1"/>
  <headerFooter>
    <oddFooter>&amp;L&amp;8&amp;Z&amp;F&amp;A&amp;R&amp;8&amp;D&amp;T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C715-73D0-4581-8B02-40E0B9A95F3B}">
  <sheetPr>
    <tabColor theme="7"/>
  </sheetPr>
  <dimension ref="A1:V34"/>
  <sheetViews>
    <sheetView topLeftCell="E1" workbookViewId="0">
      <selection activeCell="S4" sqref="S4:U4"/>
    </sheetView>
  </sheetViews>
  <sheetFormatPr defaultRowHeight="12.75" x14ac:dyDescent="0.2"/>
  <cols>
    <col min="1" max="1" width="14.42578125" bestFit="1" customWidth="1"/>
    <col min="3" max="3" width="20.5703125" bestFit="1" customWidth="1"/>
    <col min="4" max="4" width="37.42578125" bestFit="1" customWidth="1"/>
    <col min="5" max="5" width="42.140625" customWidth="1"/>
    <col min="6" max="6" width="14.85546875" bestFit="1" customWidth="1"/>
    <col min="7" max="7" width="14" bestFit="1" customWidth="1"/>
    <col min="8" max="8" width="10.85546875" bestFit="1" customWidth="1"/>
    <col min="9" max="9" width="10.5703125" bestFit="1" customWidth="1"/>
    <col min="10" max="10" width="13.7109375" bestFit="1" customWidth="1"/>
    <col min="14" max="14" width="7.7109375" bestFit="1" customWidth="1"/>
    <col min="15" max="15" width="17.28515625" bestFit="1" customWidth="1"/>
    <col min="16" max="16" width="16.85546875" bestFit="1" customWidth="1"/>
    <col min="17" max="17" width="16.28515625" bestFit="1" customWidth="1"/>
    <col min="18" max="18" width="16" bestFit="1" customWidth="1"/>
    <col min="19" max="19" width="7.85546875" bestFit="1" customWidth="1"/>
    <col min="20" max="20" width="9.7109375" bestFit="1" customWidth="1"/>
    <col min="21" max="21" width="9.5703125" bestFit="1" customWidth="1"/>
  </cols>
  <sheetData>
    <row r="1" spans="1:21" ht="18" x14ac:dyDescent="0.2">
      <c r="A1" s="880" t="s">
        <v>1645</v>
      </c>
      <c r="B1" s="878"/>
      <c r="C1" s="878"/>
      <c r="D1" s="878"/>
      <c r="E1" s="878"/>
      <c r="F1" s="878"/>
      <c r="G1" s="878"/>
      <c r="H1" s="878"/>
      <c r="I1" s="878"/>
      <c r="J1" s="878"/>
      <c r="K1" s="878"/>
      <c r="L1" s="878"/>
      <c r="M1" s="878"/>
      <c r="N1" s="878"/>
      <c r="O1" s="878"/>
      <c r="P1" s="878"/>
      <c r="Q1" s="878"/>
      <c r="R1" s="878"/>
    </row>
    <row r="2" spans="1:21" x14ac:dyDescent="0.2">
      <c r="A2" s="882" t="s">
        <v>1731</v>
      </c>
      <c r="B2" s="878"/>
      <c r="C2" s="878"/>
      <c r="D2" s="878"/>
      <c r="E2" s="878"/>
      <c r="F2" s="878"/>
      <c r="G2" s="878"/>
      <c r="H2" s="878"/>
      <c r="I2" s="878"/>
      <c r="J2" s="878"/>
      <c r="K2" s="878"/>
      <c r="L2" s="878"/>
      <c r="M2" s="878"/>
      <c r="N2" s="878"/>
      <c r="O2" s="878"/>
      <c r="P2" s="878"/>
      <c r="Q2" s="878"/>
      <c r="R2" s="878"/>
    </row>
    <row r="3" spans="1:21" ht="13.5" thickBot="1" x14ac:dyDescent="0.25">
      <c r="A3" s="882" t="s">
        <v>1647</v>
      </c>
      <c r="B3" s="878"/>
      <c r="C3" s="878"/>
      <c r="D3" s="878"/>
      <c r="E3" s="878"/>
      <c r="F3" s="878"/>
      <c r="G3" s="878"/>
      <c r="H3" s="878"/>
      <c r="I3" s="878"/>
      <c r="J3" s="878"/>
      <c r="K3" s="878"/>
      <c r="L3" s="878"/>
      <c r="M3" s="878"/>
      <c r="N3" s="878"/>
      <c r="O3" s="878"/>
      <c r="P3" s="878"/>
      <c r="Q3" s="878"/>
      <c r="R3" s="878"/>
    </row>
    <row r="4" spans="1:21" s="398" customFormat="1" ht="15.75" thickBot="1" x14ac:dyDescent="0.25">
      <c r="A4" s="396" t="s">
        <v>1467</v>
      </c>
      <c r="B4" s="396" t="s">
        <v>1732</v>
      </c>
      <c r="C4" s="396" t="s">
        <v>1648</v>
      </c>
      <c r="D4" s="396" t="s">
        <v>3</v>
      </c>
      <c r="E4" s="396" t="s">
        <v>1649</v>
      </c>
      <c r="F4" s="396" t="s">
        <v>1650</v>
      </c>
      <c r="G4" s="396" t="s">
        <v>1651</v>
      </c>
      <c r="H4" s="396" t="s">
        <v>1652</v>
      </c>
      <c r="I4" s="396" t="s">
        <v>1653</v>
      </c>
      <c r="J4" s="396" t="s">
        <v>1654</v>
      </c>
      <c r="K4" s="396" t="s">
        <v>1733</v>
      </c>
      <c r="L4" s="396" t="s">
        <v>299</v>
      </c>
      <c r="M4" s="396" t="s">
        <v>1025</v>
      </c>
      <c r="N4" s="396" t="s">
        <v>1480</v>
      </c>
      <c r="O4" s="396" t="s">
        <v>1656</v>
      </c>
      <c r="P4" s="396" t="s">
        <v>1657</v>
      </c>
      <c r="Q4" s="396" t="s">
        <v>1734</v>
      </c>
      <c r="R4" s="396" t="s">
        <v>1658</v>
      </c>
      <c r="S4" s="396" t="s">
        <v>1479</v>
      </c>
      <c r="T4" s="396" t="s">
        <v>1480</v>
      </c>
      <c r="U4" s="397" t="s">
        <v>3</v>
      </c>
    </row>
    <row r="5" spans="1:21" s="412" customFormat="1" ht="15" thickBot="1" x14ac:dyDescent="0.25">
      <c r="A5" s="408">
        <v>43743</v>
      </c>
      <c r="B5" s="409" t="s">
        <v>1115</v>
      </c>
      <c r="C5" s="409" t="s">
        <v>1725</v>
      </c>
      <c r="D5" s="409" t="s">
        <v>385</v>
      </c>
      <c r="E5" s="409" t="s">
        <v>1735</v>
      </c>
      <c r="F5" s="410" t="s">
        <v>1660</v>
      </c>
      <c r="G5" s="411">
        <v>-31.02</v>
      </c>
      <c r="H5" s="411">
        <v>-31.02</v>
      </c>
      <c r="I5" s="411">
        <v>-4.05</v>
      </c>
      <c r="J5" s="411">
        <v>-26.97</v>
      </c>
      <c r="K5" s="409" t="s">
        <v>398</v>
      </c>
      <c r="L5" s="409" t="s">
        <v>1525</v>
      </c>
      <c r="M5" s="409" t="s">
        <v>318</v>
      </c>
      <c r="N5" s="409" t="s">
        <v>1110</v>
      </c>
      <c r="O5" s="409" t="s">
        <v>1661</v>
      </c>
      <c r="P5" s="409" t="s">
        <v>1662</v>
      </c>
      <c r="Q5" s="408">
        <v>43794</v>
      </c>
      <c r="R5" s="409" t="s">
        <v>1678</v>
      </c>
      <c r="S5" s="194"/>
      <c r="T5" s="194"/>
      <c r="U5" s="412" t="s">
        <v>1736</v>
      </c>
    </row>
    <row r="6" spans="1:21" s="412" customFormat="1" ht="15" thickBot="1" x14ac:dyDescent="0.25">
      <c r="A6" s="408">
        <v>43743</v>
      </c>
      <c r="B6" s="409" t="s">
        <v>1115</v>
      </c>
      <c r="C6" s="409" t="s">
        <v>1725</v>
      </c>
      <c r="D6" s="409" t="s">
        <v>385</v>
      </c>
      <c r="E6" s="409" t="s">
        <v>1735</v>
      </c>
      <c r="F6" s="410" t="s">
        <v>1660</v>
      </c>
      <c r="G6" s="411">
        <v>31.02</v>
      </c>
      <c r="H6" s="411">
        <v>31.02</v>
      </c>
      <c r="I6" s="411">
        <v>4.05</v>
      </c>
      <c r="J6" s="411">
        <v>26.97</v>
      </c>
      <c r="K6" s="409" t="s">
        <v>398</v>
      </c>
      <c r="L6" s="409" t="s">
        <v>1525</v>
      </c>
      <c r="M6" s="409" t="s">
        <v>318</v>
      </c>
      <c r="N6" s="409" t="s">
        <v>1133</v>
      </c>
      <c r="O6" s="409" t="s">
        <v>1661</v>
      </c>
      <c r="P6" s="409" t="s">
        <v>1662</v>
      </c>
      <c r="Q6" s="408">
        <v>43794</v>
      </c>
      <c r="R6" s="409" t="s">
        <v>1678</v>
      </c>
      <c r="U6" s="412" t="s">
        <v>1736</v>
      </c>
    </row>
    <row r="7" spans="1:21" s="398" customFormat="1" ht="15.75" thickBot="1" x14ac:dyDescent="0.3">
      <c r="A7" s="399">
        <v>43756</v>
      </c>
      <c r="B7" s="400" t="s">
        <v>1115</v>
      </c>
      <c r="C7" s="400" t="s">
        <v>1728</v>
      </c>
      <c r="D7" s="400" t="s">
        <v>1181</v>
      </c>
      <c r="E7" s="400" t="s">
        <v>1737</v>
      </c>
      <c r="F7" s="401" t="s">
        <v>1660</v>
      </c>
      <c r="G7" s="402">
        <v>16.2</v>
      </c>
      <c r="H7" s="402">
        <v>16.2</v>
      </c>
      <c r="I7" s="402">
        <v>2.11</v>
      </c>
      <c r="J7" s="402">
        <v>14.09</v>
      </c>
      <c r="K7" s="400" t="s">
        <v>386</v>
      </c>
      <c r="L7" s="400" t="s">
        <v>1525</v>
      </c>
      <c r="M7" s="400" t="s">
        <v>318</v>
      </c>
      <c r="N7" s="400" t="s">
        <v>1133</v>
      </c>
      <c r="O7" s="400" t="s">
        <v>1661</v>
      </c>
      <c r="P7" s="400" t="s">
        <v>1662</v>
      </c>
      <c r="Q7" s="399">
        <v>43794</v>
      </c>
      <c r="R7" s="400" t="s">
        <v>1687</v>
      </c>
      <c r="S7" s="398" t="s">
        <v>1528</v>
      </c>
      <c r="T7" s="398" t="s">
        <v>134</v>
      </c>
      <c r="U7" s="582" t="s">
        <v>1466</v>
      </c>
    </row>
    <row r="8" spans="1:21" s="398" customFormat="1" ht="15.75" thickBot="1" x14ac:dyDescent="0.3">
      <c r="A8" s="399">
        <v>43756</v>
      </c>
      <c r="B8" s="400" t="s">
        <v>1115</v>
      </c>
      <c r="C8" s="400" t="s">
        <v>1666</v>
      </c>
      <c r="D8" s="400" t="s">
        <v>1181</v>
      </c>
      <c r="E8" s="400" t="s">
        <v>1738</v>
      </c>
      <c r="F8" s="401" t="s">
        <v>1660</v>
      </c>
      <c r="G8" s="402">
        <v>45</v>
      </c>
      <c r="H8" s="402">
        <v>45</v>
      </c>
      <c r="I8" s="402">
        <v>5.87</v>
      </c>
      <c r="J8" s="402">
        <v>39.130000000000003</v>
      </c>
      <c r="K8" s="400" t="s">
        <v>414</v>
      </c>
      <c r="L8" s="400" t="s">
        <v>1525</v>
      </c>
      <c r="M8" s="400" t="s">
        <v>318</v>
      </c>
      <c r="N8" s="400" t="s">
        <v>1110</v>
      </c>
      <c r="O8" s="400" t="s">
        <v>1661</v>
      </c>
      <c r="P8" s="400" t="s">
        <v>1662</v>
      </c>
      <c r="Q8" s="399">
        <v>43794</v>
      </c>
      <c r="R8" s="400" t="s">
        <v>1687</v>
      </c>
      <c r="S8" s="398" t="s">
        <v>1528</v>
      </c>
      <c r="T8" s="398" t="s">
        <v>134</v>
      </c>
      <c r="U8" s="582" t="s">
        <v>1466</v>
      </c>
    </row>
    <row r="9" spans="1:21" s="398" customFormat="1" ht="15.75" thickBot="1" x14ac:dyDescent="0.3">
      <c r="A9" s="399">
        <v>43756</v>
      </c>
      <c r="B9" s="400" t="s">
        <v>1115</v>
      </c>
      <c r="C9" s="400" t="s">
        <v>1729</v>
      </c>
      <c r="D9" s="400" t="s">
        <v>1229</v>
      </c>
      <c r="E9" s="400" t="s">
        <v>1739</v>
      </c>
      <c r="F9" s="401" t="s">
        <v>1660</v>
      </c>
      <c r="G9" s="402">
        <v>50.6</v>
      </c>
      <c r="H9" s="402">
        <v>50.6</v>
      </c>
      <c r="I9" s="402">
        <v>6.6</v>
      </c>
      <c r="J9" s="402">
        <v>44</v>
      </c>
      <c r="K9" s="400" t="s">
        <v>414</v>
      </c>
      <c r="L9" s="400" t="s">
        <v>1525</v>
      </c>
      <c r="M9" s="400" t="s">
        <v>318</v>
      </c>
      <c r="N9" s="400" t="s">
        <v>1133</v>
      </c>
      <c r="O9" s="400" t="s">
        <v>1661</v>
      </c>
      <c r="P9" s="400" t="s">
        <v>1662</v>
      </c>
      <c r="Q9" s="399">
        <v>43794</v>
      </c>
      <c r="R9" s="400" t="s">
        <v>1687</v>
      </c>
      <c r="S9" s="398" t="s">
        <v>1528</v>
      </c>
      <c r="T9" s="398" t="s">
        <v>134</v>
      </c>
      <c r="U9" s="582" t="s">
        <v>1466</v>
      </c>
    </row>
    <row r="10" spans="1:21" s="412" customFormat="1" ht="15" thickBot="1" x14ac:dyDescent="0.25">
      <c r="A10" s="408">
        <v>43762</v>
      </c>
      <c r="B10" s="409" t="s">
        <v>1115</v>
      </c>
      <c r="C10" s="409" t="s">
        <v>1730</v>
      </c>
      <c r="D10" s="409" t="s">
        <v>1181</v>
      </c>
      <c r="E10" s="409" t="s">
        <v>1740</v>
      </c>
      <c r="F10" s="410" t="s">
        <v>1660</v>
      </c>
      <c r="G10" s="411">
        <v>9</v>
      </c>
      <c r="H10" s="411">
        <v>9</v>
      </c>
      <c r="I10" s="411">
        <v>1.17</v>
      </c>
      <c r="J10" s="411">
        <v>7.83</v>
      </c>
      <c r="K10" s="409" t="s">
        <v>1602</v>
      </c>
      <c r="L10" s="409" t="s">
        <v>1525</v>
      </c>
      <c r="M10" s="409" t="s">
        <v>318</v>
      </c>
      <c r="N10" s="409" t="s">
        <v>1110</v>
      </c>
      <c r="O10" s="409" t="s">
        <v>1661</v>
      </c>
      <c r="P10" s="409" t="s">
        <v>1662</v>
      </c>
      <c r="Q10" s="408">
        <v>43794</v>
      </c>
      <c r="R10" s="409" t="s">
        <v>1687</v>
      </c>
      <c r="U10" s="194" t="s">
        <v>1670</v>
      </c>
    </row>
    <row r="11" spans="1:21" s="398" customFormat="1" ht="15" thickBot="1" x14ac:dyDescent="0.25">
      <c r="A11" s="399">
        <v>43797</v>
      </c>
      <c r="B11" s="400" t="s">
        <v>1115</v>
      </c>
      <c r="C11" s="400" t="s">
        <v>1741</v>
      </c>
      <c r="D11" s="400" t="s">
        <v>1742</v>
      </c>
      <c r="E11" s="400" t="s">
        <v>1743</v>
      </c>
      <c r="F11" s="401" t="s">
        <v>1681</v>
      </c>
      <c r="G11" s="402">
        <v>160</v>
      </c>
      <c r="H11" s="402">
        <v>254.44</v>
      </c>
      <c r="I11" s="402">
        <v>0</v>
      </c>
      <c r="J11" s="402">
        <v>254.44</v>
      </c>
      <c r="K11" s="400" t="s">
        <v>440</v>
      </c>
      <c r="L11" s="400" t="s">
        <v>1525</v>
      </c>
      <c r="M11" s="400" t="s">
        <v>318</v>
      </c>
      <c r="N11" s="400" t="s">
        <v>1248</v>
      </c>
      <c r="O11" s="400" t="s">
        <v>1661</v>
      </c>
      <c r="P11" s="400" t="s">
        <v>1662</v>
      </c>
      <c r="Q11" s="399">
        <v>43846</v>
      </c>
      <c r="R11" s="400" t="s">
        <v>1678</v>
      </c>
      <c r="S11" s="398" t="s">
        <v>1588</v>
      </c>
      <c r="T11" s="398" t="s">
        <v>127</v>
      </c>
    </row>
    <row r="12" spans="1:21" s="398" customFormat="1" ht="15" thickBot="1" x14ac:dyDescent="0.25">
      <c r="A12" s="399">
        <v>43801</v>
      </c>
      <c r="B12" s="400" t="s">
        <v>1115</v>
      </c>
      <c r="C12" s="400" t="s">
        <v>1744</v>
      </c>
      <c r="D12" s="400" t="s">
        <v>1203</v>
      </c>
      <c r="E12" s="400" t="s">
        <v>1203</v>
      </c>
      <c r="F12" s="401" t="s">
        <v>1660</v>
      </c>
      <c r="G12" s="402">
        <v>17.3</v>
      </c>
      <c r="H12" s="402">
        <v>17.3</v>
      </c>
      <c r="I12" s="402">
        <v>2.2599999999999998</v>
      </c>
      <c r="J12" s="402">
        <v>15.04</v>
      </c>
      <c r="K12" s="400" t="s">
        <v>386</v>
      </c>
      <c r="L12" s="400" t="s">
        <v>1525</v>
      </c>
      <c r="M12" s="400" t="s">
        <v>318</v>
      </c>
      <c r="N12" s="400" t="s">
        <v>1133</v>
      </c>
      <c r="O12" s="400" t="s">
        <v>1661</v>
      </c>
      <c r="P12" s="400" t="s">
        <v>1662</v>
      </c>
      <c r="Q12" s="399">
        <v>43821</v>
      </c>
      <c r="R12" s="400" t="s">
        <v>1687</v>
      </c>
      <c r="U12" t="s">
        <v>1670</v>
      </c>
    </row>
    <row r="13" spans="1:21" s="398" customFormat="1" ht="15" thickBot="1" x14ac:dyDescent="0.25">
      <c r="A13" s="399">
        <v>43801</v>
      </c>
      <c r="B13" s="400" t="s">
        <v>1115</v>
      </c>
      <c r="C13" s="400" t="s">
        <v>1745</v>
      </c>
      <c r="D13" s="400" t="s">
        <v>1230</v>
      </c>
      <c r="E13" s="400" t="s">
        <v>1230</v>
      </c>
      <c r="F13" s="401" t="s">
        <v>1660</v>
      </c>
      <c r="G13" s="402">
        <v>49.1</v>
      </c>
      <c r="H13" s="402">
        <v>49.1</v>
      </c>
      <c r="I13" s="402">
        <v>6.4</v>
      </c>
      <c r="J13" s="402">
        <v>42.7</v>
      </c>
      <c r="K13" s="400" t="s">
        <v>414</v>
      </c>
      <c r="L13" s="400" t="s">
        <v>1525</v>
      </c>
      <c r="M13" s="400" t="s">
        <v>318</v>
      </c>
      <c r="N13" s="400" t="s">
        <v>1133</v>
      </c>
      <c r="O13" s="400" t="s">
        <v>1661</v>
      </c>
      <c r="P13" s="400" t="s">
        <v>1662</v>
      </c>
      <c r="Q13" s="399">
        <v>43821</v>
      </c>
      <c r="R13" s="400" t="s">
        <v>1663</v>
      </c>
      <c r="S13" s="398" t="s">
        <v>1528</v>
      </c>
      <c r="T13" s="398" t="s">
        <v>134</v>
      </c>
    </row>
    <row r="14" spans="1:21" s="398" customFormat="1" ht="15" thickBot="1" x14ac:dyDescent="0.25">
      <c r="A14" s="399">
        <v>43801</v>
      </c>
      <c r="B14" s="400" t="s">
        <v>1115</v>
      </c>
      <c r="C14" s="400" t="s">
        <v>1659</v>
      </c>
      <c r="D14" s="400" t="s">
        <v>1204</v>
      </c>
      <c r="E14" s="400" t="s">
        <v>1204</v>
      </c>
      <c r="F14" s="401" t="s">
        <v>1660</v>
      </c>
      <c r="G14" s="402">
        <v>24</v>
      </c>
      <c r="H14" s="402">
        <v>24</v>
      </c>
      <c r="I14" s="402">
        <v>3.13</v>
      </c>
      <c r="J14" s="402">
        <v>20.87</v>
      </c>
      <c r="K14" s="400" t="s">
        <v>386</v>
      </c>
      <c r="L14" s="400" t="s">
        <v>1525</v>
      </c>
      <c r="M14" s="400" t="s">
        <v>318</v>
      </c>
      <c r="N14" s="400" t="s">
        <v>1133</v>
      </c>
      <c r="O14" s="400" t="s">
        <v>1661</v>
      </c>
      <c r="P14" s="400" t="s">
        <v>1662</v>
      </c>
      <c r="Q14" s="399">
        <v>43821</v>
      </c>
      <c r="R14" s="400" t="s">
        <v>1663</v>
      </c>
      <c r="S14" s="398" t="s">
        <v>1528</v>
      </c>
      <c r="T14" s="398" t="s">
        <v>134</v>
      </c>
    </row>
    <row r="15" spans="1:21" s="398" customFormat="1" ht="15" thickBot="1" x14ac:dyDescent="0.25">
      <c r="A15" s="399">
        <v>43801</v>
      </c>
      <c r="B15" s="400" t="s">
        <v>1115</v>
      </c>
      <c r="C15" s="400" t="s">
        <v>1746</v>
      </c>
      <c r="D15" s="400" t="s">
        <v>1205</v>
      </c>
      <c r="E15" s="400" t="s">
        <v>1747</v>
      </c>
      <c r="F15" s="401" t="s">
        <v>1660</v>
      </c>
      <c r="G15" s="402">
        <v>19.5</v>
      </c>
      <c r="H15" s="402">
        <v>19.5</v>
      </c>
      <c r="I15" s="402">
        <v>2.54</v>
      </c>
      <c r="J15" s="402">
        <v>16.96</v>
      </c>
      <c r="K15" s="400" t="s">
        <v>386</v>
      </c>
      <c r="L15" s="400" t="s">
        <v>1525</v>
      </c>
      <c r="M15" s="400" t="s">
        <v>318</v>
      </c>
      <c r="N15" s="400" t="s">
        <v>1133</v>
      </c>
      <c r="O15" s="400" t="s">
        <v>1661</v>
      </c>
      <c r="P15" s="400" t="s">
        <v>1662</v>
      </c>
      <c r="Q15" s="399">
        <v>43821</v>
      </c>
      <c r="R15" s="400" t="s">
        <v>1678</v>
      </c>
      <c r="S15" s="398" t="s">
        <v>1528</v>
      </c>
      <c r="T15" s="398" t="s">
        <v>134</v>
      </c>
    </row>
    <row r="16" spans="1:21" s="398" customFormat="1" ht="15" thickBot="1" x14ac:dyDescent="0.25">
      <c r="A16" s="399">
        <v>43801</v>
      </c>
      <c r="B16" s="400" t="s">
        <v>1115</v>
      </c>
      <c r="C16" s="400" t="s">
        <v>1748</v>
      </c>
      <c r="D16" s="400" t="s">
        <v>1230</v>
      </c>
      <c r="E16" s="400" t="s">
        <v>1230</v>
      </c>
      <c r="F16" s="401" t="s">
        <v>1660</v>
      </c>
      <c r="G16" s="402">
        <v>28.6</v>
      </c>
      <c r="H16" s="402">
        <v>28.6</v>
      </c>
      <c r="I16" s="402">
        <v>3.73</v>
      </c>
      <c r="J16" s="402">
        <v>24.87</v>
      </c>
      <c r="K16" s="400" t="s">
        <v>414</v>
      </c>
      <c r="L16" s="400" t="s">
        <v>1525</v>
      </c>
      <c r="M16" s="400" t="s">
        <v>318</v>
      </c>
      <c r="N16" s="400" t="s">
        <v>1133</v>
      </c>
      <c r="O16" s="400" t="s">
        <v>1661</v>
      </c>
      <c r="P16" s="400" t="s">
        <v>1662</v>
      </c>
      <c r="Q16" s="399">
        <v>43821</v>
      </c>
      <c r="R16" s="400" t="s">
        <v>1663</v>
      </c>
      <c r="S16" s="398" t="s">
        <v>1528</v>
      </c>
      <c r="T16" s="398" t="s">
        <v>134</v>
      </c>
    </row>
    <row r="17" spans="1:21" s="398" customFormat="1" ht="15" thickBot="1" x14ac:dyDescent="0.25">
      <c r="A17" s="399">
        <v>43802</v>
      </c>
      <c r="B17" s="400" t="s">
        <v>1115</v>
      </c>
      <c r="C17" s="400" t="s">
        <v>1749</v>
      </c>
      <c r="D17" s="400" t="s">
        <v>1231</v>
      </c>
      <c r="E17" s="400" t="s">
        <v>1230</v>
      </c>
      <c r="F17" s="401" t="s">
        <v>1660</v>
      </c>
      <c r="G17" s="402">
        <v>18</v>
      </c>
      <c r="H17" s="402">
        <v>18</v>
      </c>
      <c r="I17" s="402">
        <v>2.35</v>
      </c>
      <c r="J17" s="402">
        <v>15.65</v>
      </c>
      <c r="K17" s="400" t="s">
        <v>414</v>
      </c>
      <c r="L17" s="400" t="s">
        <v>1525</v>
      </c>
      <c r="M17" s="400" t="s">
        <v>318</v>
      </c>
      <c r="N17" s="400" t="s">
        <v>1133</v>
      </c>
      <c r="O17" s="400" t="s">
        <v>1661</v>
      </c>
      <c r="P17" s="400" t="s">
        <v>1662</v>
      </c>
      <c r="Q17" s="399">
        <v>43821</v>
      </c>
      <c r="R17" s="400" t="s">
        <v>1663</v>
      </c>
      <c r="S17" s="398" t="s">
        <v>1528</v>
      </c>
      <c r="T17" s="398" t="s">
        <v>134</v>
      </c>
    </row>
    <row r="18" spans="1:21" s="398" customFormat="1" ht="15" thickBot="1" x14ac:dyDescent="0.25">
      <c r="A18" s="399">
        <v>43802</v>
      </c>
      <c r="B18" s="400" t="s">
        <v>1115</v>
      </c>
      <c r="C18" s="400" t="s">
        <v>1750</v>
      </c>
      <c r="D18" s="400" t="s">
        <v>1206</v>
      </c>
      <c r="E18" s="400" t="s">
        <v>1751</v>
      </c>
      <c r="F18" s="401" t="s">
        <v>1660</v>
      </c>
      <c r="G18" s="402">
        <v>23.94</v>
      </c>
      <c r="H18" s="402">
        <v>23.94</v>
      </c>
      <c r="I18" s="402">
        <v>3.12</v>
      </c>
      <c r="J18" s="402">
        <v>20.82</v>
      </c>
      <c r="K18" s="400" t="s">
        <v>386</v>
      </c>
      <c r="L18" s="400" t="s">
        <v>1525</v>
      </c>
      <c r="M18" s="400" t="s">
        <v>318</v>
      </c>
      <c r="N18" s="400" t="s">
        <v>1133</v>
      </c>
      <c r="O18" s="400" t="s">
        <v>1661</v>
      </c>
      <c r="P18" s="400" t="s">
        <v>1662</v>
      </c>
      <c r="Q18" s="399">
        <v>43821</v>
      </c>
      <c r="R18" s="400" t="s">
        <v>1663</v>
      </c>
      <c r="S18" s="398" t="s">
        <v>1528</v>
      </c>
      <c r="T18" s="398" t="s">
        <v>134</v>
      </c>
    </row>
    <row r="19" spans="1:21" s="398" customFormat="1" ht="15" thickBot="1" x14ac:dyDescent="0.25">
      <c r="A19" s="399">
        <v>43802</v>
      </c>
      <c r="B19" s="400" t="s">
        <v>1115</v>
      </c>
      <c r="C19" s="400" t="s">
        <v>1752</v>
      </c>
      <c r="D19" s="400" t="s">
        <v>1207</v>
      </c>
      <c r="E19" s="400" t="s">
        <v>1753</v>
      </c>
      <c r="F19" s="401" t="s">
        <v>1660</v>
      </c>
      <c r="G19" s="402">
        <v>838.44</v>
      </c>
      <c r="H19" s="402">
        <v>838.44</v>
      </c>
      <c r="I19" s="402">
        <v>109.36</v>
      </c>
      <c r="J19" s="402">
        <v>729.08</v>
      </c>
      <c r="K19" s="400" t="s">
        <v>386</v>
      </c>
      <c r="L19" s="400" t="s">
        <v>1525</v>
      </c>
      <c r="M19" s="400" t="s">
        <v>318</v>
      </c>
      <c r="N19" s="400" t="s">
        <v>1133</v>
      </c>
      <c r="O19" s="400" t="s">
        <v>1661</v>
      </c>
      <c r="P19" s="400" t="s">
        <v>1662</v>
      </c>
      <c r="Q19" s="399">
        <v>43821</v>
      </c>
      <c r="R19" s="400" t="s">
        <v>1687</v>
      </c>
      <c r="S19" s="398" t="s">
        <v>1528</v>
      </c>
      <c r="T19" s="398" t="s">
        <v>134</v>
      </c>
    </row>
    <row r="20" spans="1:21" s="412" customFormat="1" ht="15" thickBot="1" x14ac:dyDescent="0.25">
      <c r="A20" s="408">
        <v>43811</v>
      </c>
      <c r="B20" s="409" t="s">
        <v>1115</v>
      </c>
      <c r="C20" s="409" t="s">
        <v>1754</v>
      </c>
      <c r="D20" s="409" t="s">
        <v>1226</v>
      </c>
      <c r="E20" s="409" t="s">
        <v>1755</v>
      </c>
      <c r="F20" s="410" t="s">
        <v>1756</v>
      </c>
      <c r="G20" s="411">
        <v>10</v>
      </c>
      <c r="H20" s="411">
        <v>10.67</v>
      </c>
      <c r="I20" s="411">
        <v>0</v>
      </c>
      <c r="J20" s="411">
        <v>10.67</v>
      </c>
      <c r="K20" s="409" t="s">
        <v>398</v>
      </c>
      <c r="L20" s="409" t="s">
        <v>1525</v>
      </c>
      <c r="M20" s="409" t="s">
        <v>318</v>
      </c>
      <c r="N20" s="409" t="s">
        <v>1110</v>
      </c>
      <c r="O20" s="409" t="s">
        <v>1661</v>
      </c>
      <c r="P20" s="409" t="s">
        <v>1662</v>
      </c>
      <c r="Q20" s="408">
        <v>43821</v>
      </c>
      <c r="R20" s="409" t="s">
        <v>1678</v>
      </c>
      <c r="U20" s="412" t="s">
        <v>1736</v>
      </c>
    </row>
    <row r="21" spans="1:21" s="412" customFormat="1" ht="15" thickBot="1" x14ac:dyDescent="0.25">
      <c r="A21" s="408">
        <v>43812</v>
      </c>
      <c r="B21" s="409" t="s">
        <v>1115</v>
      </c>
      <c r="C21" s="409" t="s">
        <v>1754</v>
      </c>
      <c r="D21" s="409" t="s">
        <v>1227</v>
      </c>
      <c r="E21" s="409" t="s">
        <v>1755</v>
      </c>
      <c r="F21" s="410" t="s">
        <v>1756</v>
      </c>
      <c r="G21" s="411">
        <v>11.12</v>
      </c>
      <c r="H21" s="411">
        <v>11.87</v>
      </c>
      <c r="I21" s="411">
        <v>0</v>
      </c>
      <c r="J21" s="411">
        <v>11.87</v>
      </c>
      <c r="K21" s="409" t="s">
        <v>398</v>
      </c>
      <c r="L21" s="409" t="s">
        <v>1525</v>
      </c>
      <c r="M21" s="409" t="s">
        <v>318</v>
      </c>
      <c r="N21" s="409" t="s">
        <v>1110</v>
      </c>
      <c r="O21" s="409" t="s">
        <v>1661</v>
      </c>
      <c r="P21" s="409" t="s">
        <v>1662</v>
      </c>
      <c r="Q21" s="408">
        <v>43821</v>
      </c>
      <c r="R21" s="409" t="s">
        <v>1678</v>
      </c>
      <c r="U21" s="412" t="s">
        <v>1736</v>
      </c>
    </row>
    <row r="22" spans="1:21" s="412" customFormat="1" ht="15" thickBot="1" x14ac:dyDescent="0.25">
      <c r="A22" s="408">
        <v>43812</v>
      </c>
      <c r="B22" s="409" t="s">
        <v>1115</v>
      </c>
      <c r="C22" s="409" t="s">
        <v>1754</v>
      </c>
      <c r="D22" s="409" t="s">
        <v>1228</v>
      </c>
      <c r="E22" s="409" t="s">
        <v>1755</v>
      </c>
      <c r="F22" s="410" t="s">
        <v>1756</v>
      </c>
      <c r="G22" s="411">
        <v>3</v>
      </c>
      <c r="H22" s="411">
        <v>3.21</v>
      </c>
      <c r="I22" s="411">
        <v>0</v>
      </c>
      <c r="J22" s="411">
        <v>3.21</v>
      </c>
      <c r="K22" s="409" t="s">
        <v>398</v>
      </c>
      <c r="L22" s="409" t="s">
        <v>1525</v>
      </c>
      <c r="M22" s="409" t="s">
        <v>318</v>
      </c>
      <c r="N22" s="409" t="s">
        <v>1110</v>
      </c>
      <c r="O22" s="409" t="s">
        <v>1661</v>
      </c>
      <c r="P22" s="409" t="s">
        <v>1662</v>
      </c>
      <c r="Q22" s="408">
        <v>43821</v>
      </c>
      <c r="R22" s="409" t="s">
        <v>1678</v>
      </c>
      <c r="U22" s="412" t="s">
        <v>1736</v>
      </c>
    </row>
    <row r="23" spans="1:21" s="398" customFormat="1" ht="15" thickBot="1" x14ac:dyDescent="0.25">
      <c r="A23" s="399">
        <v>43844</v>
      </c>
      <c r="B23" s="400" t="s">
        <v>1115</v>
      </c>
      <c r="C23" s="400" t="s">
        <v>1757</v>
      </c>
      <c r="D23" s="400" t="s">
        <v>1304</v>
      </c>
      <c r="E23" s="403"/>
      <c r="F23" s="401" t="s">
        <v>1758</v>
      </c>
      <c r="G23" s="402">
        <v>89.6</v>
      </c>
      <c r="H23" s="402">
        <v>154</v>
      </c>
      <c r="I23" s="402">
        <v>0</v>
      </c>
      <c r="J23" s="402">
        <v>154</v>
      </c>
      <c r="K23" s="400" t="s">
        <v>1553</v>
      </c>
      <c r="L23" s="400" t="s">
        <v>1525</v>
      </c>
      <c r="M23" s="400" t="s">
        <v>318</v>
      </c>
      <c r="N23" s="400" t="s">
        <v>1110</v>
      </c>
      <c r="O23" s="400" t="s">
        <v>1661</v>
      </c>
      <c r="P23" s="400" t="s">
        <v>1662</v>
      </c>
      <c r="Q23" s="399">
        <v>43892</v>
      </c>
      <c r="R23" s="400" t="s">
        <v>1663</v>
      </c>
      <c r="S23" s="398" t="s">
        <v>1588</v>
      </c>
      <c r="T23" s="398" t="s">
        <v>1759</v>
      </c>
    </row>
    <row r="24" spans="1:21" s="412" customFormat="1" ht="15" thickBot="1" x14ac:dyDescent="0.25">
      <c r="A24" s="408">
        <v>43880</v>
      </c>
      <c r="B24" s="409" t="s">
        <v>1115</v>
      </c>
      <c r="C24" s="409" t="s">
        <v>1760</v>
      </c>
      <c r="D24" s="409" t="s">
        <v>1761</v>
      </c>
      <c r="E24" s="413"/>
      <c r="F24" s="410" t="s">
        <v>1660</v>
      </c>
      <c r="G24" s="411">
        <v>540.16999999999996</v>
      </c>
      <c r="H24" s="411">
        <v>540.16999999999996</v>
      </c>
      <c r="I24" s="411">
        <v>70.459999999999994</v>
      </c>
      <c r="J24" s="411">
        <v>469.71</v>
      </c>
      <c r="K24" s="409" t="s">
        <v>1669</v>
      </c>
      <c r="L24" s="409" t="s">
        <v>1762</v>
      </c>
      <c r="M24" s="409" t="s">
        <v>318</v>
      </c>
      <c r="N24" s="409" t="s">
        <v>1110</v>
      </c>
      <c r="O24" s="409" t="s">
        <v>1661</v>
      </c>
      <c r="P24" s="409" t="s">
        <v>1662</v>
      </c>
      <c r="Q24" s="408">
        <v>43919</v>
      </c>
      <c r="R24" s="409" t="s">
        <v>1663</v>
      </c>
      <c r="U24" s="194" t="s">
        <v>1670</v>
      </c>
    </row>
    <row r="25" spans="1:21" s="398" customFormat="1" ht="15" thickBot="1" x14ac:dyDescent="0.25">
      <c r="A25" s="399">
        <v>43880</v>
      </c>
      <c r="B25" s="400" t="s">
        <v>1115</v>
      </c>
      <c r="C25" s="400" t="s">
        <v>1763</v>
      </c>
      <c r="D25" s="400" t="s">
        <v>1306</v>
      </c>
      <c r="E25" s="400" t="s">
        <v>1764</v>
      </c>
      <c r="F25" s="401" t="s">
        <v>1765</v>
      </c>
      <c r="G25" s="402">
        <v>1556.85</v>
      </c>
      <c r="H25" s="402">
        <v>1897.49</v>
      </c>
      <c r="I25" s="402">
        <v>0</v>
      </c>
      <c r="J25" s="402">
        <v>1897.49</v>
      </c>
      <c r="K25" s="400" t="s">
        <v>1553</v>
      </c>
      <c r="L25" s="400" t="s">
        <v>1525</v>
      </c>
      <c r="M25" s="400" t="s">
        <v>1305</v>
      </c>
      <c r="N25" s="400" t="s">
        <v>1110</v>
      </c>
      <c r="O25" s="400" t="s">
        <v>1661</v>
      </c>
      <c r="P25" s="400" t="s">
        <v>1662</v>
      </c>
      <c r="Q25" s="399">
        <v>43919</v>
      </c>
      <c r="R25" s="400" t="s">
        <v>1678</v>
      </c>
      <c r="S25" s="398" t="s">
        <v>1588</v>
      </c>
      <c r="T25" s="398" t="s">
        <v>127</v>
      </c>
    </row>
    <row r="26" spans="1:21" s="398" customFormat="1" ht="14.25" x14ac:dyDescent="0.2">
      <c r="A26" s="883">
        <v>43926</v>
      </c>
      <c r="B26" s="884"/>
      <c r="C26" s="884"/>
      <c r="D26" s="884"/>
      <c r="E26" s="884"/>
      <c r="F26" s="885">
        <v>1</v>
      </c>
      <c r="G26" s="884"/>
      <c r="H26" s="884"/>
      <c r="I26" s="884"/>
      <c r="J26" s="884"/>
      <c r="K26" s="884"/>
      <c r="L26" s="884"/>
      <c r="M26" s="886">
        <v>0.90778935000000005</v>
      </c>
      <c r="N26" s="884"/>
      <c r="O26" s="884"/>
      <c r="P26" s="884"/>
      <c r="Q26" s="884"/>
      <c r="R26" s="884"/>
    </row>
    <row r="27" spans="1:21" s="398" customFormat="1" ht="14.25" x14ac:dyDescent="0.2"/>
    <row r="31" spans="1:21" ht="13.5" thickBot="1" x14ac:dyDescent="0.25"/>
    <row r="32" spans="1:21" ht="13.5" thickBot="1" x14ac:dyDescent="0.25">
      <c r="A32" s="333" t="s">
        <v>1467</v>
      </c>
      <c r="B32" s="333" t="s">
        <v>1732</v>
      </c>
      <c r="C32" s="333" t="s">
        <v>1648</v>
      </c>
      <c r="D32" s="333" t="s">
        <v>3</v>
      </c>
      <c r="E32" s="333" t="s">
        <v>1649</v>
      </c>
      <c r="F32" s="333" t="s">
        <v>1650</v>
      </c>
      <c r="G32" s="333" t="s">
        <v>1651</v>
      </c>
      <c r="H32" s="333" t="s">
        <v>1652</v>
      </c>
      <c r="I32" s="333" t="s">
        <v>1653</v>
      </c>
      <c r="J32" s="333" t="s">
        <v>1654</v>
      </c>
      <c r="K32" s="333" t="s">
        <v>1733</v>
      </c>
      <c r="L32" s="333" t="s">
        <v>299</v>
      </c>
      <c r="M32" s="333" t="s">
        <v>1025</v>
      </c>
      <c r="N32" s="333" t="s">
        <v>1480</v>
      </c>
      <c r="O32" s="333" t="s">
        <v>1766</v>
      </c>
      <c r="P32" s="333" t="s">
        <v>1656</v>
      </c>
      <c r="Q32" s="333" t="s">
        <v>1657</v>
      </c>
      <c r="R32" s="333" t="s">
        <v>1734</v>
      </c>
      <c r="S32" s="333" t="s">
        <v>1658</v>
      </c>
    </row>
    <row r="33" spans="1:22" ht="13.5" thickBot="1" x14ac:dyDescent="0.25">
      <c r="A33" s="334">
        <v>43905</v>
      </c>
      <c r="B33" s="335" t="s">
        <v>1115</v>
      </c>
      <c r="C33" s="335" t="s">
        <v>1767</v>
      </c>
      <c r="D33" s="336"/>
      <c r="E33" s="336"/>
      <c r="F33" s="337" t="s">
        <v>1756</v>
      </c>
      <c r="G33" s="338">
        <v>272.69</v>
      </c>
      <c r="H33" s="338">
        <v>285.3</v>
      </c>
      <c r="I33" s="338">
        <v>37.21</v>
      </c>
      <c r="J33" s="338">
        <v>248.09</v>
      </c>
      <c r="K33" s="335" t="s">
        <v>1768</v>
      </c>
      <c r="L33" s="335" t="s">
        <v>1525</v>
      </c>
      <c r="M33" s="336"/>
      <c r="N33" s="336"/>
      <c r="O33" s="336"/>
      <c r="P33" s="335" t="s">
        <v>1727</v>
      </c>
      <c r="Q33" s="336"/>
      <c r="R33" s="336"/>
      <c r="S33" s="335" t="s">
        <v>1678</v>
      </c>
    </row>
    <row r="34" spans="1:22" x14ac:dyDescent="0.2">
      <c r="A34" s="877">
        <v>43926</v>
      </c>
      <c r="B34" s="878"/>
      <c r="C34" s="878"/>
      <c r="D34" s="878"/>
      <c r="E34" s="878"/>
      <c r="F34" s="878"/>
      <c r="G34" s="878"/>
      <c r="H34" s="878"/>
      <c r="I34" s="879">
        <v>1</v>
      </c>
      <c r="J34" s="878"/>
      <c r="K34" s="878"/>
      <c r="L34" s="878"/>
      <c r="M34" s="878"/>
      <c r="N34" s="878"/>
      <c r="O34" s="878"/>
      <c r="P34" s="881">
        <v>0.90778935000000005</v>
      </c>
      <c r="Q34" s="878"/>
      <c r="R34" s="878"/>
      <c r="S34" s="878"/>
      <c r="T34" s="878"/>
      <c r="U34" s="878"/>
      <c r="V34" s="878"/>
    </row>
  </sheetData>
  <autoFilter ref="A4:V26" xr:uid="{B62122DE-8BBE-4FF4-A98F-FCED74F5874E}"/>
  <mergeCells count="9">
    <mergeCell ref="A34:H34"/>
    <mergeCell ref="I34:O34"/>
    <mergeCell ref="P34:V34"/>
    <mergeCell ref="A1:R1"/>
    <mergeCell ref="A2:R2"/>
    <mergeCell ref="A3:R3"/>
    <mergeCell ref="A26:E26"/>
    <mergeCell ref="F26:L26"/>
    <mergeCell ref="M26:R2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C05D-84E4-4B3B-A2B8-45B1C2B563D7}">
  <sheetPr>
    <tabColor theme="7"/>
  </sheetPr>
  <dimension ref="A1:N8"/>
  <sheetViews>
    <sheetView workbookViewId="0">
      <selection activeCell="O22" sqref="O22"/>
    </sheetView>
  </sheetViews>
  <sheetFormatPr defaultRowHeight="12.75" x14ac:dyDescent="0.2"/>
  <cols>
    <col min="4" max="4" width="23.140625" bestFit="1" customWidth="1"/>
    <col min="9" max="9" width="14.7109375" bestFit="1" customWidth="1"/>
    <col min="10" max="10" width="15.85546875" bestFit="1" customWidth="1"/>
    <col min="11" max="11" width="18.7109375" bestFit="1" customWidth="1"/>
  </cols>
  <sheetData>
    <row r="1" spans="1:14" ht="15" x14ac:dyDescent="0.25">
      <c r="A1" s="196" t="s">
        <v>1021</v>
      </c>
      <c r="B1" s="196" t="s">
        <v>1022</v>
      </c>
      <c r="C1" s="196" t="s">
        <v>1023</v>
      </c>
      <c r="D1" s="196" t="s">
        <v>1024</v>
      </c>
      <c r="E1" s="196" t="s">
        <v>299</v>
      </c>
      <c r="F1" s="196" t="s">
        <v>1025</v>
      </c>
      <c r="G1" s="196" t="s">
        <v>1026</v>
      </c>
      <c r="H1" s="196" t="s">
        <v>1027</v>
      </c>
      <c r="I1" s="196" t="s">
        <v>1028</v>
      </c>
      <c r="J1" s="196" t="s">
        <v>1029</v>
      </c>
      <c r="K1" s="196" t="s">
        <v>1030</v>
      </c>
      <c r="L1" s="196" t="s">
        <v>1031</v>
      </c>
      <c r="M1" s="196" t="s">
        <v>1032</v>
      </c>
      <c r="N1" s="196" t="s">
        <v>1033</v>
      </c>
    </row>
    <row r="2" spans="1:14" x14ac:dyDescent="0.2">
      <c r="A2">
        <v>3605</v>
      </c>
      <c r="B2" t="s">
        <v>1435</v>
      </c>
      <c r="C2" t="s">
        <v>1038</v>
      </c>
      <c r="D2" t="s">
        <v>1769</v>
      </c>
      <c r="E2">
        <v>100</v>
      </c>
      <c r="F2" t="s">
        <v>1040</v>
      </c>
      <c r="G2">
        <v>3705</v>
      </c>
      <c r="H2" t="s">
        <v>1638</v>
      </c>
      <c r="I2" s="199">
        <v>43910</v>
      </c>
      <c r="J2" t="s">
        <v>1043</v>
      </c>
      <c r="K2" t="s">
        <v>1639</v>
      </c>
      <c r="L2">
        <v>75</v>
      </c>
      <c r="M2">
        <v>0</v>
      </c>
      <c r="N2">
        <v>75</v>
      </c>
    </row>
    <row r="3" spans="1:14" x14ac:dyDescent="0.2">
      <c r="A3">
        <v>3605</v>
      </c>
      <c r="B3" t="s">
        <v>1435</v>
      </c>
      <c r="C3" t="s">
        <v>1038</v>
      </c>
      <c r="D3" t="s">
        <v>1769</v>
      </c>
      <c r="E3">
        <v>100</v>
      </c>
      <c r="F3" t="s">
        <v>1040</v>
      </c>
      <c r="G3">
        <v>3705</v>
      </c>
      <c r="H3" t="s">
        <v>1638</v>
      </c>
      <c r="I3" s="199">
        <v>43910</v>
      </c>
      <c r="J3" t="s">
        <v>1043</v>
      </c>
      <c r="K3" t="s">
        <v>1639</v>
      </c>
      <c r="L3">
        <v>-75</v>
      </c>
      <c r="M3">
        <v>0</v>
      </c>
      <c r="N3">
        <v>-75</v>
      </c>
    </row>
    <row r="4" spans="1:14" x14ac:dyDescent="0.2">
      <c r="A4">
        <v>3605</v>
      </c>
      <c r="B4" t="s">
        <v>1037</v>
      </c>
      <c r="C4" t="s">
        <v>1038</v>
      </c>
      <c r="D4" t="s">
        <v>1770</v>
      </c>
      <c r="E4">
        <v>100</v>
      </c>
      <c r="F4" t="s">
        <v>1040</v>
      </c>
      <c r="G4">
        <v>3705</v>
      </c>
      <c r="H4" t="s">
        <v>1638</v>
      </c>
      <c r="I4" s="199">
        <v>43910</v>
      </c>
      <c r="J4" t="s">
        <v>1043</v>
      </c>
      <c r="K4" t="s">
        <v>1639</v>
      </c>
      <c r="L4">
        <v>65.22</v>
      </c>
      <c r="M4">
        <v>9.7799999999999994</v>
      </c>
      <c r="N4">
        <v>75</v>
      </c>
    </row>
    <row r="5" spans="1:14" x14ac:dyDescent="0.2">
      <c r="A5">
        <v>3705</v>
      </c>
      <c r="B5" t="s">
        <v>1435</v>
      </c>
      <c r="C5" t="s">
        <v>1045</v>
      </c>
      <c r="E5">
        <v>100</v>
      </c>
      <c r="F5" t="s">
        <v>1040</v>
      </c>
      <c r="G5">
        <v>3705</v>
      </c>
      <c r="H5" t="s">
        <v>1638</v>
      </c>
      <c r="I5" s="199">
        <v>43910</v>
      </c>
      <c r="J5" t="s">
        <v>1043</v>
      </c>
      <c r="K5" t="s">
        <v>1639</v>
      </c>
      <c r="L5">
        <v>-200</v>
      </c>
      <c r="M5">
        <v>0</v>
      </c>
      <c r="N5">
        <v>-200</v>
      </c>
    </row>
    <row r="6" spans="1:14" x14ac:dyDescent="0.2">
      <c r="A6">
        <v>3705</v>
      </c>
      <c r="B6" t="s">
        <v>1435</v>
      </c>
      <c r="C6" t="s">
        <v>1045</v>
      </c>
      <c r="E6">
        <v>100</v>
      </c>
      <c r="F6" t="s">
        <v>1040</v>
      </c>
      <c r="G6">
        <v>3705</v>
      </c>
      <c r="H6" t="s">
        <v>1638</v>
      </c>
      <c r="I6" s="199">
        <v>43910</v>
      </c>
      <c r="J6" t="s">
        <v>1043</v>
      </c>
      <c r="K6" t="s">
        <v>1639</v>
      </c>
      <c r="L6">
        <v>-8050.03</v>
      </c>
      <c r="M6">
        <v>0</v>
      </c>
      <c r="N6">
        <v>-8050.03</v>
      </c>
    </row>
    <row r="7" spans="1:14" ht="13.5" thickBot="1" x14ac:dyDescent="0.25">
      <c r="L7" s="444">
        <f>SUM(L2:L6)</f>
        <v>-8184.8099999999995</v>
      </c>
    </row>
    <row r="8" spans="1:14" s="457" customFormat="1" ht="13.5" thickTop="1" x14ac:dyDescent="0.2">
      <c r="A8" s="457" t="s">
        <v>1771</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0FDE-B121-45B9-A57A-4D69D3CD88DD}">
  <sheetPr>
    <tabColor theme="7"/>
  </sheetPr>
  <dimension ref="A1:R40"/>
  <sheetViews>
    <sheetView topLeftCell="G1" workbookViewId="0">
      <selection activeCell="I19" sqref="I19"/>
    </sheetView>
  </sheetViews>
  <sheetFormatPr defaultColWidth="9.140625" defaultRowHeight="15" x14ac:dyDescent="0.25"/>
  <cols>
    <col min="1" max="1" width="15.85546875" style="454" bestFit="1" customWidth="1"/>
    <col min="2" max="2" width="16.140625" style="454" bestFit="1" customWidth="1"/>
    <col min="3" max="3" width="20.5703125" style="454" bestFit="1" customWidth="1"/>
    <col min="4" max="4" width="15" style="454" bestFit="1" customWidth="1"/>
    <col min="5" max="5" width="19.42578125" style="454" bestFit="1" customWidth="1"/>
    <col min="6" max="6" width="28.42578125" style="454" bestFit="1" customWidth="1"/>
    <col min="7" max="7" width="20.140625" style="454" bestFit="1" customWidth="1"/>
    <col min="8" max="8" width="23" style="454" bestFit="1" customWidth="1"/>
    <col min="9" max="9" width="30" style="454" customWidth="1"/>
    <col min="10" max="10" width="34.85546875" style="454" customWidth="1"/>
    <col min="11" max="11" width="22.5703125" style="454" bestFit="1" customWidth="1"/>
    <col min="12" max="12" width="6.140625" style="454" bestFit="1" customWidth="1"/>
    <col min="13" max="13" width="22.140625" style="454" bestFit="1" customWidth="1"/>
    <col min="14" max="14" width="21.42578125" style="454" bestFit="1" customWidth="1"/>
    <col min="15" max="15" width="11.42578125" style="454" bestFit="1" customWidth="1"/>
    <col min="16" max="16" width="32.42578125" style="454" bestFit="1" customWidth="1"/>
    <col min="17" max="17" width="11.28515625" style="454" bestFit="1" customWidth="1"/>
    <col min="18" max="18" width="30.5703125" style="454" bestFit="1" customWidth="1"/>
    <col min="19" max="16384" width="9.140625" style="454"/>
  </cols>
  <sheetData>
    <row r="1" spans="1:18" x14ac:dyDescent="0.25">
      <c r="A1" s="454" t="s">
        <v>1467</v>
      </c>
      <c r="B1" s="454" t="s">
        <v>1468</v>
      </c>
      <c r="C1" s="454" t="s">
        <v>1469</v>
      </c>
      <c r="D1" s="454" t="s">
        <v>1470</v>
      </c>
      <c r="E1" s="454" t="s">
        <v>1471</v>
      </c>
      <c r="F1" s="454" t="s">
        <v>1772</v>
      </c>
      <c r="G1" s="454" t="s">
        <v>1472</v>
      </c>
      <c r="H1" s="454" t="s">
        <v>1473</v>
      </c>
      <c r="I1" s="454" t="s">
        <v>1474</v>
      </c>
      <c r="J1" s="454" t="s">
        <v>1475</v>
      </c>
      <c r="K1" s="454" t="s">
        <v>1476</v>
      </c>
      <c r="L1" s="454" t="s">
        <v>1032</v>
      </c>
      <c r="M1" s="454" t="s">
        <v>1477</v>
      </c>
      <c r="N1" s="454" t="s">
        <v>1478</v>
      </c>
      <c r="O1" s="454" t="s">
        <v>1640</v>
      </c>
      <c r="P1" s="454" t="s">
        <v>1773</v>
      </c>
      <c r="Q1" s="454" t="s">
        <v>299</v>
      </c>
      <c r="R1" s="454" t="s">
        <v>1774</v>
      </c>
    </row>
    <row r="2" spans="1:18" x14ac:dyDescent="0.25">
      <c r="A2" s="455">
        <v>44090</v>
      </c>
      <c r="B2" s="456">
        <v>0.44097222222222227</v>
      </c>
      <c r="C2" s="455">
        <v>44090</v>
      </c>
      <c r="D2" s="455">
        <v>44104</v>
      </c>
      <c r="E2" s="454" t="s">
        <v>1775</v>
      </c>
      <c r="G2" s="454" t="s">
        <v>1776</v>
      </c>
      <c r="H2" s="454" t="s">
        <v>325</v>
      </c>
      <c r="I2" s="454" t="s">
        <v>1644</v>
      </c>
      <c r="J2" s="454" t="s">
        <v>1777</v>
      </c>
      <c r="K2" s="454">
        <v>11.1</v>
      </c>
      <c r="L2" s="454">
        <v>1.66</v>
      </c>
      <c r="M2" s="454">
        <v>12.76</v>
      </c>
      <c r="N2" s="454">
        <v>11.6</v>
      </c>
      <c r="O2" s="454">
        <v>3070</v>
      </c>
      <c r="P2" s="454" t="s">
        <v>1778</v>
      </c>
      <c r="Q2" s="454">
        <v>400</v>
      </c>
    </row>
    <row r="3" spans="1:18" x14ac:dyDescent="0.25">
      <c r="A3" s="455">
        <v>44090</v>
      </c>
      <c r="B3" s="456">
        <v>0.37777777777777777</v>
      </c>
      <c r="C3" s="455">
        <v>44090</v>
      </c>
      <c r="D3" s="455">
        <v>44104</v>
      </c>
      <c r="E3" s="454" t="s">
        <v>1775</v>
      </c>
      <c r="G3" s="454" t="s">
        <v>1776</v>
      </c>
      <c r="H3" s="454" t="s">
        <v>325</v>
      </c>
      <c r="I3" s="454" t="s">
        <v>1643</v>
      </c>
      <c r="J3" s="454" t="s">
        <v>1779</v>
      </c>
      <c r="K3" s="454">
        <v>23.43</v>
      </c>
      <c r="L3" s="454">
        <v>3.52</v>
      </c>
      <c r="M3" s="454">
        <v>26.95</v>
      </c>
      <c r="N3" s="454">
        <v>24.5</v>
      </c>
      <c r="O3" s="454">
        <v>1612</v>
      </c>
      <c r="P3" s="454" t="s">
        <v>1778</v>
      </c>
      <c r="Q3" s="454">
        <v>400</v>
      </c>
    </row>
    <row r="4" spans="1:18" x14ac:dyDescent="0.25">
      <c r="A4" s="455">
        <v>44088</v>
      </c>
      <c r="B4" s="456">
        <v>0.43472222222222223</v>
      </c>
      <c r="C4" s="455">
        <v>44088</v>
      </c>
      <c r="D4" s="455">
        <v>44104</v>
      </c>
      <c r="E4" s="454" t="s">
        <v>1775</v>
      </c>
      <c r="G4" s="454" t="s">
        <v>1776</v>
      </c>
      <c r="H4" s="454" t="s">
        <v>325</v>
      </c>
      <c r="I4" s="454" t="s">
        <v>1485</v>
      </c>
      <c r="J4" s="454" t="s">
        <v>1777</v>
      </c>
      <c r="K4" s="454">
        <v>45.82</v>
      </c>
      <c r="L4" s="454">
        <v>6.87</v>
      </c>
      <c r="M4" s="454">
        <v>52.69</v>
      </c>
      <c r="N4" s="454">
        <v>47.9</v>
      </c>
      <c r="O4" s="454">
        <v>1319</v>
      </c>
      <c r="P4" s="454" t="s">
        <v>1778</v>
      </c>
      <c r="Q4" s="454">
        <v>400</v>
      </c>
    </row>
    <row r="5" spans="1:18" x14ac:dyDescent="0.25">
      <c r="A5" s="455">
        <v>44088</v>
      </c>
      <c r="B5" s="456">
        <v>0.32500000000000001</v>
      </c>
      <c r="C5" s="455">
        <v>44088</v>
      </c>
      <c r="D5" s="455">
        <v>44104</v>
      </c>
      <c r="E5" s="454" t="s">
        <v>1775</v>
      </c>
      <c r="G5" s="454" t="s">
        <v>1776</v>
      </c>
      <c r="H5" s="454" t="s">
        <v>325</v>
      </c>
      <c r="I5" s="454" t="s">
        <v>1780</v>
      </c>
      <c r="J5" s="454" t="s">
        <v>1487</v>
      </c>
      <c r="K5" s="454">
        <v>79.2</v>
      </c>
      <c r="L5" s="454">
        <v>11.88</v>
      </c>
      <c r="M5" s="454">
        <v>91.08</v>
      </c>
      <c r="N5" s="454">
        <v>82.8</v>
      </c>
      <c r="O5" s="454">
        <v>1578</v>
      </c>
      <c r="P5" s="454" t="s">
        <v>1781</v>
      </c>
      <c r="Q5" s="454">
        <v>400</v>
      </c>
    </row>
    <row r="6" spans="1:18" x14ac:dyDescent="0.25">
      <c r="A6" s="455">
        <v>44084</v>
      </c>
      <c r="B6" s="456">
        <v>0.37152777777777773</v>
      </c>
      <c r="C6" s="455">
        <v>44085</v>
      </c>
      <c r="D6" s="455">
        <v>44104</v>
      </c>
      <c r="E6" s="454" t="s">
        <v>1782</v>
      </c>
      <c r="G6" s="454" t="s">
        <v>1783</v>
      </c>
      <c r="H6" s="454" t="s">
        <v>1784</v>
      </c>
      <c r="I6" s="454" t="s">
        <v>1785</v>
      </c>
      <c r="J6" s="454" t="s">
        <v>1786</v>
      </c>
      <c r="K6" s="454">
        <v>14.54</v>
      </c>
      <c r="L6" s="454">
        <v>2.1800000000000002</v>
      </c>
      <c r="M6" s="454">
        <v>16.72</v>
      </c>
      <c r="N6" s="454">
        <v>15.2</v>
      </c>
      <c r="O6" s="454">
        <v>5719601</v>
      </c>
      <c r="P6" s="454" t="s">
        <v>1778</v>
      </c>
      <c r="Q6" s="454">
        <v>600</v>
      </c>
    </row>
    <row r="7" spans="1:18" x14ac:dyDescent="0.25">
      <c r="A7" s="455">
        <v>44084</v>
      </c>
      <c r="B7" s="456">
        <v>0</v>
      </c>
      <c r="C7" s="455">
        <v>44088</v>
      </c>
      <c r="D7" s="455">
        <v>44104</v>
      </c>
      <c r="E7" s="454" t="s">
        <v>1782</v>
      </c>
      <c r="G7" s="454" t="s">
        <v>1783</v>
      </c>
      <c r="H7" s="454" t="s">
        <v>325</v>
      </c>
      <c r="I7" s="454" t="s">
        <v>1787</v>
      </c>
      <c r="J7" s="454" t="s">
        <v>1788</v>
      </c>
      <c r="K7" s="454">
        <v>13.39</v>
      </c>
      <c r="L7" s="454">
        <v>2.0099999999999998</v>
      </c>
      <c r="M7" s="454">
        <v>15.4</v>
      </c>
      <c r="N7" s="454">
        <v>14</v>
      </c>
      <c r="O7" s="454">
        <v>5719603</v>
      </c>
      <c r="P7" s="454" t="s">
        <v>1778</v>
      </c>
      <c r="Q7" s="454">
        <v>600</v>
      </c>
    </row>
    <row r="8" spans="1:18" x14ac:dyDescent="0.25">
      <c r="A8" s="455">
        <v>44083</v>
      </c>
      <c r="B8" s="456">
        <v>0.66666666666666663</v>
      </c>
      <c r="C8" s="455">
        <v>44091</v>
      </c>
      <c r="D8" s="455">
        <v>44104</v>
      </c>
      <c r="E8" s="454" t="s">
        <v>1782</v>
      </c>
      <c r="G8" s="454" t="s">
        <v>1783</v>
      </c>
      <c r="H8" s="454" t="s">
        <v>325</v>
      </c>
      <c r="I8" s="454" t="s">
        <v>1789</v>
      </c>
      <c r="J8" s="454" t="s">
        <v>1790</v>
      </c>
      <c r="K8" s="454">
        <v>38.26</v>
      </c>
      <c r="L8" s="454">
        <v>5.74</v>
      </c>
      <c r="M8" s="454">
        <v>44</v>
      </c>
      <c r="N8" s="454">
        <v>40</v>
      </c>
      <c r="O8" s="454">
        <v>5719631</v>
      </c>
      <c r="P8" s="454" t="s">
        <v>1791</v>
      </c>
      <c r="Q8" s="454">
        <v>600</v>
      </c>
    </row>
    <row r="9" spans="1:18" x14ac:dyDescent="0.25">
      <c r="A9" s="455">
        <v>44083</v>
      </c>
      <c r="B9" s="456">
        <v>0.46388888888888885</v>
      </c>
      <c r="C9" s="455">
        <v>44089</v>
      </c>
      <c r="D9" s="455">
        <v>44104</v>
      </c>
      <c r="E9" s="454" t="s">
        <v>1782</v>
      </c>
      <c r="G9" s="454" t="s">
        <v>1783</v>
      </c>
      <c r="H9" s="454" t="s">
        <v>325</v>
      </c>
      <c r="I9" s="454" t="s">
        <v>1792</v>
      </c>
      <c r="J9" s="454" t="s">
        <v>1793</v>
      </c>
      <c r="K9" s="454">
        <v>23.91</v>
      </c>
      <c r="L9" s="454">
        <v>3.59</v>
      </c>
      <c r="M9" s="454">
        <v>27.5</v>
      </c>
      <c r="N9" s="454">
        <v>25</v>
      </c>
      <c r="O9" s="454">
        <v>5719632</v>
      </c>
      <c r="P9" s="454" t="s">
        <v>1778</v>
      </c>
      <c r="Q9" s="454">
        <v>600</v>
      </c>
    </row>
    <row r="10" spans="1:18" x14ac:dyDescent="0.25">
      <c r="A10" s="455">
        <v>44083</v>
      </c>
      <c r="B10" s="456">
        <v>0.37986111111111115</v>
      </c>
      <c r="C10" s="455">
        <v>44090</v>
      </c>
      <c r="D10" s="455">
        <v>44104</v>
      </c>
      <c r="E10" s="454" t="s">
        <v>1782</v>
      </c>
      <c r="G10" s="454" t="s">
        <v>1783</v>
      </c>
      <c r="H10" s="454" t="s">
        <v>325</v>
      </c>
      <c r="I10" s="454" t="s">
        <v>1790</v>
      </c>
      <c r="J10" s="454" t="s">
        <v>1789</v>
      </c>
      <c r="K10" s="454">
        <v>38.26</v>
      </c>
      <c r="L10" s="454">
        <v>5.74</v>
      </c>
      <c r="M10" s="454">
        <v>44</v>
      </c>
      <c r="N10" s="454">
        <v>40</v>
      </c>
      <c r="O10" s="454">
        <v>5719630</v>
      </c>
      <c r="P10" s="454" t="s">
        <v>1791</v>
      </c>
      <c r="Q10" s="454">
        <v>600</v>
      </c>
    </row>
    <row r="11" spans="1:18" x14ac:dyDescent="0.25">
      <c r="A11" s="455">
        <v>44083</v>
      </c>
      <c r="B11" s="456">
        <v>0</v>
      </c>
      <c r="C11" s="455">
        <v>44102</v>
      </c>
      <c r="D11" s="455">
        <v>44104</v>
      </c>
      <c r="E11" s="454" t="s">
        <v>1782</v>
      </c>
      <c r="G11" s="454" t="s">
        <v>1783</v>
      </c>
      <c r="H11" s="454" t="s">
        <v>1794</v>
      </c>
      <c r="I11" s="454" t="s">
        <v>1795</v>
      </c>
      <c r="J11" s="454" t="s">
        <v>1795</v>
      </c>
      <c r="K11" s="454">
        <v>25.73</v>
      </c>
      <c r="L11" s="454">
        <v>3.86</v>
      </c>
      <c r="M11" s="454">
        <v>29.59</v>
      </c>
      <c r="N11" s="454">
        <v>26.9</v>
      </c>
      <c r="O11" s="454">
        <v>5719633</v>
      </c>
      <c r="P11" s="454" t="s">
        <v>1796</v>
      </c>
      <c r="Q11" s="454">
        <v>600</v>
      </c>
    </row>
    <row r="12" spans="1:18" x14ac:dyDescent="0.25">
      <c r="A12" s="455">
        <v>44076</v>
      </c>
      <c r="B12" s="456">
        <v>0.97222222222222221</v>
      </c>
      <c r="C12" s="455">
        <v>44083</v>
      </c>
      <c r="D12" s="455">
        <v>44104</v>
      </c>
      <c r="E12" s="454" t="s">
        <v>1782</v>
      </c>
      <c r="G12" s="454" t="s">
        <v>1783</v>
      </c>
      <c r="H12" s="454" t="s">
        <v>325</v>
      </c>
      <c r="I12" s="454" t="s">
        <v>1788</v>
      </c>
      <c r="J12" s="454" t="s">
        <v>1797</v>
      </c>
      <c r="K12" s="454">
        <v>14.06</v>
      </c>
      <c r="L12" s="454">
        <v>2.11</v>
      </c>
      <c r="M12" s="454">
        <v>16.170000000000002</v>
      </c>
      <c r="N12" s="454">
        <v>14.7</v>
      </c>
      <c r="O12" s="454">
        <v>5719602</v>
      </c>
      <c r="P12" s="454" t="s">
        <v>1778</v>
      </c>
      <c r="Q12" s="454">
        <v>600</v>
      </c>
    </row>
    <row r="13" spans="1:18" x14ac:dyDescent="0.25">
      <c r="A13" s="455">
        <v>44076</v>
      </c>
      <c r="B13" s="456">
        <v>0.53472222222222221</v>
      </c>
      <c r="C13" s="455">
        <v>44078</v>
      </c>
      <c r="D13" s="455">
        <v>44104</v>
      </c>
      <c r="E13" s="454" t="s">
        <v>1782</v>
      </c>
      <c r="G13" s="454" t="s">
        <v>1783</v>
      </c>
      <c r="H13" s="454" t="s">
        <v>325</v>
      </c>
      <c r="I13" s="454" t="s">
        <v>1798</v>
      </c>
      <c r="J13" s="454" t="s">
        <v>1790</v>
      </c>
      <c r="K13" s="454">
        <v>11.47</v>
      </c>
      <c r="L13" s="454">
        <v>1.73</v>
      </c>
      <c r="M13" s="454">
        <v>13.2</v>
      </c>
      <c r="N13" s="454">
        <v>12</v>
      </c>
      <c r="O13" s="454">
        <v>5719600</v>
      </c>
      <c r="P13" s="454" t="s">
        <v>1778</v>
      </c>
      <c r="Q13" s="454">
        <v>600</v>
      </c>
    </row>
    <row r="14" spans="1:18" x14ac:dyDescent="0.25">
      <c r="A14" s="455">
        <v>44054</v>
      </c>
      <c r="B14" s="456">
        <v>0.81597222222222221</v>
      </c>
      <c r="C14" s="455">
        <v>44055</v>
      </c>
      <c r="D14" s="455">
        <v>44074</v>
      </c>
      <c r="E14" s="454" t="s">
        <v>1799</v>
      </c>
      <c r="G14" s="454" t="s">
        <v>1800</v>
      </c>
      <c r="H14" s="454" t="s">
        <v>325</v>
      </c>
      <c r="I14" s="454" t="s">
        <v>1485</v>
      </c>
      <c r="J14" s="454" t="s">
        <v>1801</v>
      </c>
      <c r="K14" s="454">
        <v>39.79</v>
      </c>
      <c r="L14" s="454">
        <v>5.97</v>
      </c>
      <c r="M14" s="454">
        <v>45.76</v>
      </c>
      <c r="N14" s="454">
        <v>41.6</v>
      </c>
      <c r="O14" s="454">
        <v>1896</v>
      </c>
      <c r="P14" s="454" t="s">
        <v>1778</v>
      </c>
      <c r="Q14" s="454">
        <v>300</v>
      </c>
    </row>
    <row r="15" spans="1:18" x14ac:dyDescent="0.25">
      <c r="A15" s="455">
        <v>44048</v>
      </c>
      <c r="B15" s="456">
        <v>0.75624999999999998</v>
      </c>
      <c r="C15" s="455">
        <v>44049</v>
      </c>
      <c r="D15" s="455">
        <v>44074</v>
      </c>
      <c r="E15" s="454" t="s">
        <v>1802</v>
      </c>
      <c r="G15" s="454" t="s">
        <v>1803</v>
      </c>
      <c r="H15" s="454" t="s">
        <v>325</v>
      </c>
      <c r="I15" s="454" t="s">
        <v>1485</v>
      </c>
      <c r="J15" s="454" t="s">
        <v>1804</v>
      </c>
      <c r="K15" s="454">
        <v>77.290000000000006</v>
      </c>
      <c r="L15" s="454">
        <v>11.59</v>
      </c>
      <c r="M15" s="454">
        <v>88.88</v>
      </c>
      <c r="N15" s="454">
        <v>80.8</v>
      </c>
      <c r="O15" s="454">
        <v>1761</v>
      </c>
      <c r="P15" s="454" t="s">
        <v>1778</v>
      </c>
      <c r="Q15" s="454">
        <v>400</v>
      </c>
    </row>
    <row r="16" spans="1:18" x14ac:dyDescent="0.25">
      <c r="A16" s="455">
        <v>44048</v>
      </c>
      <c r="B16" s="456">
        <v>0.62222222222222223</v>
      </c>
      <c r="C16" s="455">
        <v>44048</v>
      </c>
      <c r="D16" s="455">
        <v>44074</v>
      </c>
      <c r="E16" s="454" t="s">
        <v>1802</v>
      </c>
      <c r="G16" s="454" t="s">
        <v>1803</v>
      </c>
      <c r="H16" s="454" t="s">
        <v>325</v>
      </c>
      <c r="I16" s="454" t="s">
        <v>1805</v>
      </c>
      <c r="J16" s="454" t="s">
        <v>1487</v>
      </c>
      <c r="K16" s="454">
        <v>80.16</v>
      </c>
      <c r="L16" s="454">
        <v>12.02</v>
      </c>
      <c r="M16" s="454">
        <v>92.18</v>
      </c>
      <c r="N16" s="454">
        <v>83.8</v>
      </c>
      <c r="O16" s="454">
        <v>384</v>
      </c>
      <c r="P16" s="454" t="s">
        <v>1781</v>
      </c>
      <c r="Q16" s="454">
        <v>400</v>
      </c>
    </row>
    <row r="17" spans="1:17" x14ac:dyDescent="0.25">
      <c r="A17" s="455">
        <v>44047</v>
      </c>
      <c r="B17" s="456">
        <v>0.44791666666666669</v>
      </c>
      <c r="C17" s="455">
        <v>44047</v>
      </c>
      <c r="D17" s="455">
        <v>44074</v>
      </c>
      <c r="E17" s="454" t="s">
        <v>1802</v>
      </c>
      <c r="G17" s="454" t="s">
        <v>1803</v>
      </c>
      <c r="H17" s="454" t="s">
        <v>325</v>
      </c>
      <c r="I17" s="454" t="s">
        <v>1487</v>
      </c>
      <c r="J17" s="454" t="s">
        <v>1806</v>
      </c>
      <c r="K17" s="454">
        <v>83.41</v>
      </c>
      <c r="L17" s="454">
        <v>12.51</v>
      </c>
      <c r="M17" s="454">
        <v>95.92</v>
      </c>
      <c r="N17" s="454">
        <v>87.2</v>
      </c>
      <c r="O17" s="454">
        <v>601</v>
      </c>
      <c r="P17" s="454" t="s">
        <v>1781</v>
      </c>
      <c r="Q17" s="454">
        <v>400</v>
      </c>
    </row>
    <row r="18" spans="1:17" x14ac:dyDescent="0.25">
      <c r="A18" s="455">
        <v>44047</v>
      </c>
      <c r="B18" s="456">
        <v>0.34583333333333338</v>
      </c>
      <c r="C18" s="455">
        <v>44047</v>
      </c>
      <c r="D18" s="455">
        <v>44074</v>
      </c>
      <c r="E18" s="454" t="s">
        <v>1802</v>
      </c>
      <c r="G18" s="454" t="s">
        <v>1803</v>
      </c>
      <c r="H18" s="454" t="s">
        <v>325</v>
      </c>
      <c r="I18" s="454" t="s">
        <v>1804</v>
      </c>
      <c r="J18" s="454" t="s">
        <v>1485</v>
      </c>
      <c r="K18" s="454">
        <v>59.59</v>
      </c>
      <c r="L18" s="454">
        <v>8.94</v>
      </c>
      <c r="M18" s="454">
        <v>68.53</v>
      </c>
      <c r="N18" s="454">
        <v>62.3</v>
      </c>
      <c r="O18" s="454">
        <v>1737</v>
      </c>
      <c r="P18" s="454" t="s">
        <v>1778</v>
      </c>
      <c r="Q18" s="454">
        <v>400</v>
      </c>
    </row>
    <row r="19" spans="1:17" x14ac:dyDescent="0.25">
      <c r="A19" s="455">
        <v>44042</v>
      </c>
      <c r="B19" s="456">
        <v>0.89930555555555547</v>
      </c>
      <c r="C19" s="455">
        <v>44046</v>
      </c>
      <c r="D19" s="455">
        <v>44074</v>
      </c>
      <c r="E19" s="454" t="s">
        <v>1782</v>
      </c>
      <c r="G19" s="454" t="s">
        <v>1783</v>
      </c>
      <c r="H19" s="454" t="s">
        <v>325</v>
      </c>
      <c r="I19" s="454" t="s">
        <v>1807</v>
      </c>
      <c r="J19" s="454" t="s">
        <v>1808</v>
      </c>
      <c r="K19" s="454">
        <v>27.74</v>
      </c>
      <c r="L19" s="454">
        <v>4.16</v>
      </c>
      <c r="M19" s="454">
        <v>31.9</v>
      </c>
      <c r="N19" s="454">
        <v>29</v>
      </c>
      <c r="O19" s="454">
        <v>5689656</v>
      </c>
      <c r="P19" s="454" t="s">
        <v>1781</v>
      </c>
      <c r="Q19" s="454">
        <v>600</v>
      </c>
    </row>
    <row r="20" spans="1:17" x14ac:dyDescent="0.25">
      <c r="A20" s="455">
        <v>44042</v>
      </c>
      <c r="B20" s="456">
        <v>0.68958333333333333</v>
      </c>
      <c r="C20" s="455">
        <v>44043</v>
      </c>
      <c r="D20" s="455">
        <v>44043</v>
      </c>
      <c r="E20" s="454" t="s">
        <v>1775</v>
      </c>
      <c r="G20" s="454" t="s">
        <v>1776</v>
      </c>
      <c r="H20" s="454" t="s">
        <v>325</v>
      </c>
      <c r="I20" s="454" t="s">
        <v>1809</v>
      </c>
      <c r="J20" s="454" t="s">
        <v>1780</v>
      </c>
      <c r="K20" s="454">
        <v>81.69</v>
      </c>
      <c r="L20" s="454">
        <v>12.25</v>
      </c>
      <c r="M20" s="454">
        <v>93.94</v>
      </c>
      <c r="N20" s="454">
        <v>85.4</v>
      </c>
      <c r="O20" s="454">
        <v>1261</v>
      </c>
      <c r="P20" s="454" t="s">
        <v>1781</v>
      </c>
      <c r="Q20" s="454">
        <v>400</v>
      </c>
    </row>
    <row r="21" spans="1:17" x14ac:dyDescent="0.25">
      <c r="A21" s="455">
        <v>44042</v>
      </c>
      <c r="B21" s="456">
        <v>0.55069444444444449</v>
      </c>
      <c r="C21" s="455">
        <v>44042</v>
      </c>
      <c r="D21" s="455">
        <v>44043</v>
      </c>
      <c r="E21" s="454" t="s">
        <v>1775</v>
      </c>
      <c r="G21" s="454" t="s">
        <v>1776</v>
      </c>
      <c r="H21" s="454" t="s">
        <v>325</v>
      </c>
      <c r="I21" s="454" t="s">
        <v>1810</v>
      </c>
      <c r="J21" s="454" t="s">
        <v>1811</v>
      </c>
      <c r="K21" s="454">
        <v>52.7</v>
      </c>
      <c r="L21" s="454">
        <v>7.91</v>
      </c>
      <c r="M21" s="454">
        <v>60.61</v>
      </c>
      <c r="N21" s="454">
        <v>55.1</v>
      </c>
      <c r="O21" s="454">
        <v>798</v>
      </c>
      <c r="P21" s="454" t="s">
        <v>1812</v>
      </c>
      <c r="Q21" s="454">
        <v>400</v>
      </c>
    </row>
    <row r="22" spans="1:17" x14ac:dyDescent="0.25">
      <c r="A22" s="455">
        <v>44042</v>
      </c>
      <c r="B22" s="456">
        <v>0.49583333333333335</v>
      </c>
      <c r="C22" s="455">
        <v>44042</v>
      </c>
      <c r="D22" s="455">
        <v>44043</v>
      </c>
      <c r="E22" s="454" t="s">
        <v>1813</v>
      </c>
      <c r="G22" s="454" t="s">
        <v>1814</v>
      </c>
      <c r="H22" s="454" t="s">
        <v>1815</v>
      </c>
      <c r="I22" s="454" t="s">
        <v>1485</v>
      </c>
      <c r="J22" s="454" t="s">
        <v>1816</v>
      </c>
      <c r="K22" s="454">
        <v>85.33</v>
      </c>
      <c r="L22" s="454">
        <v>12.79</v>
      </c>
      <c r="M22" s="454">
        <v>98.12</v>
      </c>
      <c r="N22" s="454">
        <v>89.2</v>
      </c>
      <c r="O22" s="454">
        <v>179306</v>
      </c>
      <c r="P22" s="454" t="s">
        <v>1778</v>
      </c>
      <c r="Q22" s="454">
        <v>600</v>
      </c>
    </row>
    <row r="23" spans="1:17" x14ac:dyDescent="0.25">
      <c r="A23" s="455">
        <v>44042</v>
      </c>
      <c r="B23" s="456">
        <v>0.39166666666666666</v>
      </c>
      <c r="C23" s="455">
        <v>44042</v>
      </c>
      <c r="D23" s="455">
        <v>44043</v>
      </c>
      <c r="E23" s="454" t="s">
        <v>1813</v>
      </c>
      <c r="G23" s="454" t="s">
        <v>1814</v>
      </c>
      <c r="H23" s="454" t="s">
        <v>1815</v>
      </c>
      <c r="I23" s="454" t="s">
        <v>1817</v>
      </c>
      <c r="J23" s="454" t="s">
        <v>1811</v>
      </c>
      <c r="K23" s="454">
        <v>51.56</v>
      </c>
      <c r="L23" s="454">
        <v>7.73</v>
      </c>
      <c r="M23" s="454">
        <v>59.29</v>
      </c>
      <c r="N23" s="454">
        <v>53.9</v>
      </c>
      <c r="O23" s="454">
        <v>179306</v>
      </c>
      <c r="P23" s="454" t="s">
        <v>1812</v>
      </c>
      <c r="Q23" s="454">
        <v>600</v>
      </c>
    </row>
    <row r="24" spans="1:17" x14ac:dyDescent="0.25">
      <c r="A24" s="455">
        <v>44041</v>
      </c>
      <c r="B24" s="456">
        <v>0.53888888888888886</v>
      </c>
      <c r="C24" s="455">
        <v>44041</v>
      </c>
      <c r="D24" s="455">
        <v>44043</v>
      </c>
      <c r="E24" s="454" t="s">
        <v>1775</v>
      </c>
      <c r="G24" s="454" t="s">
        <v>1776</v>
      </c>
      <c r="H24" s="454" t="s">
        <v>325</v>
      </c>
      <c r="I24" s="454" t="s">
        <v>1780</v>
      </c>
      <c r="J24" s="454" t="s">
        <v>1487</v>
      </c>
      <c r="K24" s="454">
        <v>78.819999999999993</v>
      </c>
      <c r="L24" s="454">
        <v>11.82</v>
      </c>
      <c r="M24" s="454">
        <v>90.64</v>
      </c>
      <c r="N24" s="454">
        <v>82.4</v>
      </c>
      <c r="O24" s="454">
        <v>1246</v>
      </c>
      <c r="P24" s="454" t="s">
        <v>1781</v>
      </c>
      <c r="Q24" s="454">
        <v>400</v>
      </c>
    </row>
    <row r="25" spans="1:17" x14ac:dyDescent="0.25">
      <c r="A25" s="455">
        <v>44041</v>
      </c>
      <c r="B25" s="456">
        <v>0</v>
      </c>
      <c r="C25" s="455">
        <v>44043</v>
      </c>
      <c r="D25" s="455">
        <v>44043</v>
      </c>
      <c r="E25" s="454" t="s">
        <v>1782</v>
      </c>
      <c r="G25" s="454" t="s">
        <v>1783</v>
      </c>
      <c r="H25" s="454" t="s">
        <v>1818</v>
      </c>
      <c r="I25" s="454" t="s">
        <v>1819</v>
      </c>
      <c r="J25" s="454" t="s">
        <v>1820</v>
      </c>
      <c r="K25" s="454">
        <v>87.43</v>
      </c>
      <c r="L25" s="454">
        <v>13.11</v>
      </c>
      <c r="M25" s="454">
        <v>100.54</v>
      </c>
      <c r="N25" s="454">
        <v>91.4</v>
      </c>
      <c r="O25" s="454">
        <v>5689599</v>
      </c>
      <c r="P25" s="454" t="s">
        <v>1778</v>
      </c>
      <c r="Q25" s="454">
        <v>600</v>
      </c>
    </row>
    <row r="26" spans="1:17" x14ac:dyDescent="0.25">
      <c r="A26" s="455">
        <v>44033</v>
      </c>
      <c r="B26" s="456">
        <v>0.77708333333333324</v>
      </c>
      <c r="C26" s="455">
        <v>44034</v>
      </c>
      <c r="D26" s="455">
        <v>44043</v>
      </c>
      <c r="E26" s="454" t="s">
        <v>1775</v>
      </c>
      <c r="G26" s="454" t="s">
        <v>1776</v>
      </c>
      <c r="H26" s="454" t="s">
        <v>325</v>
      </c>
      <c r="I26" s="454" t="s">
        <v>1809</v>
      </c>
      <c r="J26" s="454" t="s">
        <v>1780</v>
      </c>
      <c r="K26" s="454">
        <v>80.34</v>
      </c>
      <c r="L26" s="454">
        <v>12.06</v>
      </c>
      <c r="M26" s="454">
        <v>92.4</v>
      </c>
      <c r="N26" s="454">
        <v>84</v>
      </c>
      <c r="O26" s="454">
        <v>1165</v>
      </c>
      <c r="P26" s="454" t="s">
        <v>1781</v>
      </c>
      <c r="Q26" s="454">
        <v>400</v>
      </c>
    </row>
    <row r="27" spans="1:17" x14ac:dyDescent="0.25">
      <c r="A27" s="455">
        <v>44033</v>
      </c>
      <c r="B27" s="456">
        <v>0.64097222222222217</v>
      </c>
      <c r="C27" s="455">
        <v>44033</v>
      </c>
      <c r="D27" s="455">
        <v>44043</v>
      </c>
      <c r="E27" s="454" t="s">
        <v>1775</v>
      </c>
      <c r="G27" s="454" t="s">
        <v>1776</v>
      </c>
      <c r="H27" s="454" t="s">
        <v>325</v>
      </c>
      <c r="I27" s="454" t="s">
        <v>1643</v>
      </c>
      <c r="J27" s="454" t="s">
        <v>1485</v>
      </c>
      <c r="K27" s="454">
        <v>40.270000000000003</v>
      </c>
      <c r="L27" s="454">
        <v>6.04</v>
      </c>
      <c r="M27" s="454">
        <v>46.31</v>
      </c>
      <c r="N27" s="454">
        <v>42.1</v>
      </c>
      <c r="O27" s="454">
        <v>1216</v>
      </c>
      <c r="P27" s="454" t="s">
        <v>1778</v>
      </c>
      <c r="Q27" s="454">
        <v>400</v>
      </c>
    </row>
    <row r="28" spans="1:17" x14ac:dyDescent="0.25">
      <c r="A28" s="455">
        <v>44033</v>
      </c>
      <c r="B28" s="456">
        <v>0.59930555555555554</v>
      </c>
      <c r="C28" s="455">
        <v>44033</v>
      </c>
      <c r="D28" s="455">
        <v>44043</v>
      </c>
      <c r="E28" s="454" t="s">
        <v>1821</v>
      </c>
      <c r="G28" s="454" t="s">
        <v>1822</v>
      </c>
      <c r="H28" s="454" t="s">
        <v>325</v>
      </c>
      <c r="I28" s="454" t="s">
        <v>1643</v>
      </c>
      <c r="J28" s="454" t="s">
        <v>1485</v>
      </c>
      <c r="K28" s="454">
        <v>36.159999999999997</v>
      </c>
      <c r="L28" s="454">
        <v>5.42</v>
      </c>
      <c r="M28" s="454">
        <v>41.58</v>
      </c>
      <c r="N28" s="454">
        <v>37.799999999999997</v>
      </c>
      <c r="O28" s="454">
        <v>1775</v>
      </c>
      <c r="P28" s="454" t="s">
        <v>1778</v>
      </c>
      <c r="Q28" s="454">
        <v>600</v>
      </c>
    </row>
    <row r="29" spans="1:17" x14ac:dyDescent="0.25">
      <c r="A29" s="455">
        <v>44033</v>
      </c>
      <c r="B29" s="456">
        <v>0.42986111111111108</v>
      </c>
      <c r="C29" s="455">
        <v>44033</v>
      </c>
      <c r="D29" s="455">
        <v>44043</v>
      </c>
      <c r="E29" s="454" t="s">
        <v>1775</v>
      </c>
      <c r="G29" s="454" t="s">
        <v>1776</v>
      </c>
      <c r="H29" s="454" t="s">
        <v>325</v>
      </c>
      <c r="I29" s="454" t="s">
        <v>1485</v>
      </c>
      <c r="J29" s="454" t="s">
        <v>1643</v>
      </c>
      <c r="K29" s="454">
        <v>35.869999999999997</v>
      </c>
      <c r="L29" s="454">
        <v>5.38</v>
      </c>
      <c r="M29" s="454">
        <v>41.25</v>
      </c>
      <c r="N29" s="454">
        <v>37.5</v>
      </c>
      <c r="O29" s="454">
        <v>507</v>
      </c>
      <c r="P29" s="454" t="s">
        <v>1778</v>
      </c>
      <c r="Q29" s="454">
        <v>400</v>
      </c>
    </row>
    <row r="30" spans="1:17" x14ac:dyDescent="0.25">
      <c r="A30" s="455">
        <v>44033</v>
      </c>
      <c r="B30" s="456">
        <v>0.31527777777777777</v>
      </c>
      <c r="C30" s="455">
        <v>44033</v>
      </c>
      <c r="D30" s="455">
        <v>44043</v>
      </c>
      <c r="E30" s="454" t="s">
        <v>1775</v>
      </c>
      <c r="G30" s="454" t="s">
        <v>1776</v>
      </c>
      <c r="H30" s="454" t="s">
        <v>325</v>
      </c>
      <c r="I30" s="454" t="s">
        <v>1780</v>
      </c>
      <c r="J30" s="454" t="s">
        <v>1487</v>
      </c>
      <c r="K30" s="454">
        <v>79.2</v>
      </c>
      <c r="L30" s="454">
        <v>11.88</v>
      </c>
      <c r="M30" s="454">
        <v>91.08</v>
      </c>
      <c r="N30" s="454">
        <v>82.8</v>
      </c>
      <c r="O30" s="454">
        <v>1163</v>
      </c>
      <c r="P30" s="454" t="s">
        <v>1781</v>
      </c>
      <c r="Q30" s="454">
        <v>400</v>
      </c>
    </row>
    <row r="31" spans="1:17" x14ac:dyDescent="0.25">
      <c r="A31" s="455">
        <v>44032</v>
      </c>
      <c r="B31" s="456">
        <v>0.36805555555555558</v>
      </c>
      <c r="C31" s="455">
        <v>44032</v>
      </c>
      <c r="D31" s="455">
        <v>44043</v>
      </c>
      <c r="E31" s="454" t="s">
        <v>1821</v>
      </c>
      <c r="G31" s="454" t="s">
        <v>1822</v>
      </c>
      <c r="H31" s="454" t="s">
        <v>325</v>
      </c>
      <c r="I31" s="454" t="s">
        <v>1485</v>
      </c>
      <c r="J31" s="454" t="s">
        <v>1777</v>
      </c>
      <c r="K31" s="454">
        <v>42.37</v>
      </c>
      <c r="L31" s="454">
        <v>6.36</v>
      </c>
      <c r="M31" s="454">
        <v>48.73</v>
      </c>
      <c r="N31" s="454">
        <v>44.3</v>
      </c>
      <c r="O31" s="454">
        <v>2385</v>
      </c>
      <c r="P31" s="454" t="s">
        <v>1778</v>
      </c>
      <c r="Q31" s="454">
        <v>600</v>
      </c>
    </row>
    <row r="32" spans="1:17" x14ac:dyDescent="0.25">
      <c r="A32" s="455">
        <v>44021</v>
      </c>
      <c r="B32" s="456">
        <v>0.37152777777777773</v>
      </c>
      <c r="C32" s="455">
        <v>44021</v>
      </c>
      <c r="D32" s="455">
        <v>44043</v>
      </c>
      <c r="E32" s="454" t="s">
        <v>1823</v>
      </c>
      <c r="G32" s="454" t="s">
        <v>1824</v>
      </c>
      <c r="H32" s="454" t="s">
        <v>325</v>
      </c>
      <c r="I32" s="454" t="s">
        <v>1643</v>
      </c>
      <c r="J32" s="454" t="s">
        <v>1825</v>
      </c>
      <c r="K32" s="454">
        <v>13.1</v>
      </c>
      <c r="L32" s="454">
        <v>1.97</v>
      </c>
      <c r="M32" s="454">
        <v>15.07</v>
      </c>
      <c r="N32" s="454">
        <v>13.7</v>
      </c>
      <c r="O32" s="454">
        <v>1990</v>
      </c>
      <c r="P32" s="454" t="s">
        <v>1778</v>
      </c>
      <c r="Q32" s="454">
        <v>600</v>
      </c>
    </row>
    <row r="33" spans="1:17" x14ac:dyDescent="0.25">
      <c r="A33" s="455">
        <v>44021</v>
      </c>
      <c r="B33" s="456">
        <v>0</v>
      </c>
      <c r="C33" s="455">
        <v>44026</v>
      </c>
      <c r="D33" s="455">
        <v>44043</v>
      </c>
      <c r="E33" s="454" t="s">
        <v>1782</v>
      </c>
      <c r="G33" s="454" t="s">
        <v>1783</v>
      </c>
      <c r="H33" s="454" t="s">
        <v>1826</v>
      </c>
      <c r="I33" s="454" t="s">
        <v>1827</v>
      </c>
      <c r="J33" s="454" t="s">
        <v>1788</v>
      </c>
      <c r="K33" s="454">
        <v>12.63</v>
      </c>
      <c r="L33" s="454">
        <v>1.89</v>
      </c>
      <c r="M33" s="454">
        <v>14.52</v>
      </c>
      <c r="N33" s="454">
        <v>13.2</v>
      </c>
      <c r="O33" s="454">
        <v>5689597</v>
      </c>
      <c r="P33" s="454" t="s">
        <v>1796</v>
      </c>
      <c r="Q33" s="454">
        <v>600</v>
      </c>
    </row>
    <row r="34" spans="1:17" x14ac:dyDescent="0.25">
      <c r="A34" s="455">
        <v>44020</v>
      </c>
      <c r="B34" s="456">
        <v>0.73472222222222217</v>
      </c>
      <c r="C34" s="455">
        <v>44021</v>
      </c>
      <c r="D34" s="455">
        <v>44043</v>
      </c>
      <c r="E34" s="454" t="s">
        <v>1823</v>
      </c>
      <c r="G34" s="454" t="s">
        <v>1824</v>
      </c>
      <c r="H34" s="454" t="s">
        <v>325</v>
      </c>
      <c r="I34" s="454" t="s">
        <v>1828</v>
      </c>
      <c r="J34" s="454" t="s">
        <v>1643</v>
      </c>
      <c r="K34" s="454">
        <v>16.260000000000002</v>
      </c>
      <c r="L34" s="454">
        <v>2.44</v>
      </c>
      <c r="M34" s="454">
        <v>18.7</v>
      </c>
      <c r="N34" s="454">
        <v>17</v>
      </c>
      <c r="O34" s="454">
        <v>1076</v>
      </c>
      <c r="P34" s="454" t="s">
        <v>1778</v>
      </c>
      <c r="Q34" s="454">
        <v>600</v>
      </c>
    </row>
    <row r="35" spans="1:17" x14ac:dyDescent="0.25">
      <c r="A35" s="455">
        <v>44020</v>
      </c>
      <c r="B35" s="456">
        <v>0.36458333333333331</v>
      </c>
      <c r="C35" s="455">
        <v>44020</v>
      </c>
      <c r="D35" s="455">
        <v>44043</v>
      </c>
      <c r="E35" s="454" t="s">
        <v>1823</v>
      </c>
      <c r="G35" s="454" t="s">
        <v>1824</v>
      </c>
      <c r="H35" s="454" t="s">
        <v>325</v>
      </c>
      <c r="I35" s="454" t="s">
        <v>1643</v>
      </c>
      <c r="J35" s="454" t="s">
        <v>1829</v>
      </c>
      <c r="K35" s="454">
        <v>12.73</v>
      </c>
      <c r="L35" s="454">
        <v>1.9</v>
      </c>
      <c r="M35" s="454">
        <v>14.63</v>
      </c>
      <c r="N35" s="454">
        <v>13.3</v>
      </c>
      <c r="O35" s="454">
        <v>1503</v>
      </c>
      <c r="P35" s="454" t="s">
        <v>1778</v>
      </c>
      <c r="Q35" s="454">
        <v>600</v>
      </c>
    </row>
    <row r="36" spans="1:17" x14ac:dyDescent="0.25">
      <c r="A36" s="455">
        <v>44014</v>
      </c>
      <c r="B36" s="456">
        <v>0.25</v>
      </c>
      <c r="C36" s="455">
        <v>44027</v>
      </c>
      <c r="D36" s="455">
        <v>44043</v>
      </c>
      <c r="E36" s="454" t="s">
        <v>1782</v>
      </c>
      <c r="G36" s="454" t="s">
        <v>1783</v>
      </c>
      <c r="H36" s="454" t="s">
        <v>1830</v>
      </c>
      <c r="I36" s="454" t="s">
        <v>1819</v>
      </c>
      <c r="J36" s="454" t="s">
        <v>1485</v>
      </c>
      <c r="K36" s="454">
        <v>82.07</v>
      </c>
      <c r="L36" s="454">
        <v>12.31</v>
      </c>
      <c r="M36" s="454">
        <v>94.38</v>
      </c>
      <c r="N36" s="454">
        <v>85.8</v>
      </c>
      <c r="O36" s="454">
        <v>5689596</v>
      </c>
      <c r="P36" s="454" t="s">
        <v>1778</v>
      </c>
      <c r="Q36" s="454">
        <v>600</v>
      </c>
    </row>
    <row r="37" spans="1:17" x14ac:dyDescent="0.25">
      <c r="A37" s="455">
        <v>44014</v>
      </c>
      <c r="B37" s="456">
        <v>0</v>
      </c>
      <c r="C37" s="455">
        <v>44020</v>
      </c>
      <c r="D37" s="455">
        <v>44043</v>
      </c>
      <c r="E37" s="454" t="s">
        <v>1782</v>
      </c>
      <c r="G37" s="454" t="s">
        <v>1783</v>
      </c>
      <c r="H37" s="454" t="s">
        <v>1830</v>
      </c>
      <c r="I37" s="454" t="s">
        <v>1831</v>
      </c>
      <c r="J37" s="454" t="s">
        <v>1832</v>
      </c>
      <c r="K37" s="454">
        <v>81.3</v>
      </c>
      <c r="L37" s="454">
        <v>12.2</v>
      </c>
      <c r="M37" s="454">
        <v>93.5</v>
      </c>
      <c r="N37" s="454">
        <v>85</v>
      </c>
      <c r="O37" s="454">
        <v>5689594</v>
      </c>
      <c r="P37" s="454" t="s">
        <v>1781</v>
      </c>
      <c r="Q37" s="454">
        <v>600</v>
      </c>
    </row>
    <row r="38" spans="1:17" x14ac:dyDescent="0.25">
      <c r="A38" s="455">
        <v>44014</v>
      </c>
      <c r="B38" s="456">
        <v>0</v>
      </c>
      <c r="C38" s="455">
        <v>44020</v>
      </c>
      <c r="D38" s="455">
        <v>44043</v>
      </c>
      <c r="E38" s="454" t="s">
        <v>1782</v>
      </c>
      <c r="G38" s="454" t="s">
        <v>1783</v>
      </c>
      <c r="H38" s="454" t="s">
        <v>1830</v>
      </c>
      <c r="I38" s="454" t="s">
        <v>1833</v>
      </c>
      <c r="J38" s="454" t="s">
        <v>1834</v>
      </c>
      <c r="K38" s="454">
        <v>83.22</v>
      </c>
      <c r="L38" s="454">
        <v>12.48</v>
      </c>
      <c r="M38" s="454">
        <v>95.7</v>
      </c>
      <c r="N38" s="454">
        <v>87</v>
      </c>
      <c r="O38" s="454">
        <v>5689595</v>
      </c>
      <c r="P38" s="454" t="s">
        <v>1781</v>
      </c>
      <c r="Q38" s="454">
        <v>600</v>
      </c>
    </row>
    <row r="39" spans="1:17" x14ac:dyDescent="0.25">
      <c r="A39" s="455">
        <v>44014</v>
      </c>
      <c r="B39" s="456">
        <v>0</v>
      </c>
      <c r="C39" s="455">
        <v>44034</v>
      </c>
      <c r="D39" s="455">
        <v>44043</v>
      </c>
      <c r="E39" s="454" t="s">
        <v>1782</v>
      </c>
      <c r="G39" s="454" t="s">
        <v>1783</v>
      </c>
      <c r="H39" s="454" t="s">
        <v>1835</v>
      </c>
      <c r="I39" s="454" t="s">
        <v>1836</v>
      </c>
      <c r="J39" s="454" t="s">
        <v>1819</v>
      </c>
      <c r="K39" s="454">
        <v>82.64</v>
      </c>
      <c r="L39" s="454">
        <v>12.4</v>
      </c>
      <c r="M39" s="454">
        <v>95.04</v>
      </c>
      <c r="N39" s="454">
        <v>86.4</v>
      </c>
      <c r="O39" s="454">
        <v>5689593</v>
      </c>
      <c r="P39" s="454" t="s">
        <v>1778</v>
      </c>
      <c r="Q39" s="454">
        <v>600</v>
      </c>
    </row>
    <row r="40" spans="1:17" x14ac:dyDescent="0.25">
      <c r="A40" s="455">
        <v>43908</v>
      </c>
      <c r="B40" s="456">
        <v>0</v>
      </c>
      <c r="C40" s="455">
        <v>44026</v>
      </c>
      <c r="D40" s="455">
        <v>44043</v>
      </c>
      <c r="E40" s="454" t="s">
        <v>1782</v>
      </c>
      <c r="G40" s="454" t="s">
        <v>1783</v>
      </c>
      <c r="H40" s="454" t="s">
        <v>325</v>
      </c>
      <c r="I40" s="454" t="s">
        <v>1837</v>
      </c>
      <c r="J40" s="454" t="s">
        <v>1838</v>
      </c>
      <c r="K40" s="454">
        <v>45.91</v>
      </c>
      <c r="L40" s="454">
        <v>6.89</v>
      </c>
      <c r="M40" s="454">
        <v>52.8</v>
      </c>
      <c r="N40" s="454">
        <v>48</v>
      </c>
      <c r="O40" s="454">
        <v>5692276</v>
      </c>
      <c r="P40" s="454" t="s">
        <v>1781</v>
      </c>
      <c r="Q40" s="454">
        <v>600</v>
      </c>
    </row>
  </sheetData>
  <autoFilter ref="A1:R40" xr:uid="{C8614A7A-3E28-4B91-9A2C-F73B59075C9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8753-EFC5-4F06-AF68-3A8A65C61502}">
  <sheetPr>
    <tabColor theme="7"/>
  </sheetPr>
  <dimension ref="A1:U7"/>
  <sheetViews>
    <sheetView workbookViewId="0">
      <selection activeCell="E20" sqref="E20"/>
    </sheetView>
  </sheetViews>
  <sheetFormatPr defaultRowHeight="12.75" x14ac:dyDescent="0.2"/>
  <cols>
    <col min="1" max="1" width="15.7109375" customWidth="1"/>
    <col min="3" max="3" width="22.7109375" bestFit="1" customWidth="1"/>
    <col min="4" max="4" width="44.140625" bestFit="1" customWidth="1"/>
    <col min="5" max="5" width="54.5703125" bestFit="1" customWidth="1"/>
    <col min="16" max="16" width="13.42578125" bestFit="1" customWidth="1"/>
    <col min="17" max="17" width="12.5703125" bestFit="1" customWidth="1"/>
    <col min="18" max="18" width="12.28515625" bestFit="1" customWidth="1"/>
  </cols>
  <sheetData>
    <row r="1" spans="1:21" ht="18" x14ac:dyDescent="0.2">
      <c r="A1" s="880" t="s">
        <v>1645</v>
      </c>
      <c r="B1" s="878"/>
      <c r="C1" s="878"/>
      <c r="D1" s="878"/>
      <c r="E1" s="878"/>
      <c r="F1" s="878"/>
      <c r="G1" s="878"/>
      <c r="H1" s="878"/>
      <c r="I1" s="878"/>
      <c r="J1" s="878"/>
      <c r="K1" s="878"/>
      <c r="L1" s="878"/>
      <c r="M1" s="878"/>
      <c r="N1" s="878"/>
      <c r="O1" s="878"/>
      <c r="P1" s="878"/>
      <c r="Q1" s="878"/>
      <c r="R1" s="878"/>
    </row>
    <row r="2" spans="1:21" x14ac:dyDescent="0.2">
      <c r="A2" s="882" t="s">
        <v>1839</v>
      </c>
      <c r="B2" s="878"/>
      <c r="C2" s="878"/>
      <c r="D2" s="878"/>
      <c r="E2" s="878"/>
      <c r="F2" s="878"/>
      <c r="G2" s="878"/>
      <c r="H2" s="878"/>
      <c r="I2" s="878"/>
      <c r="J2" s="878"/>
      <c r="K2" s="878"/>
      <c r="L2" s="878"/>
      <c r="M2" s="878"/>
      <c r="N2" s="878"/>
      <c r="O2" s="878"/>
      <c r="P2" s="878"/>
      <c r="Q2" s="878"/>
      <c r="R2" s="878"/>
    </row>
    <row r="3" spans="1:21" ht="13.5" thickBot="1" x14ac:dyDescent="0.25">
      <c r="A3" s="882" t="s">
        <v>1647</v>
      </c>
      <c r="B3" s="878"/>
      <c r="C3" s="878"/>
      <c r="D3" s="878"/>
      <c r="E3" s="878"/>
      <c r="F3" s="878"/>
      <c r="G3" s="878"/>
      <c r="H3" s="878"/>
      <c r="I3" s="878"/>
      <c r="J3" s="878"/>
      <c r="K3" s="878"/>
      <c r="L3" s="878"/>
      <c r="M3" s="878"/>
      <c r="N3" s="878"/>
      <c r="O3" s="878"/>
      <c r="P3" s="878"/>
      <c r="Q3" s="878"/>
      <c r="R3" s="878"/>
    </row>
    <row r="4" spans="1:21" ht="13.5" thickBot="1" x14ac:dyDescent="0.25">
      <c r="A4" s="333" t="s">
        <v>1467</v>
      </c>
      <c r="B4" s="333" t="s">
        <v>1732</v>
      </c>
      <c r="C4" s="333" t="s">
        <v>1648</v>
      </c>
      <c r="D4" s="333" t="s">
        <v>3</v>
      </c>
      <c r="E4" s="333" t="s">
        <v>1649</v>
      </c>
      <c r="F4" s="333" t="s">
        <v>1650</v>
      </c>
      <c r="G4" s="333" t="s">
        <v>1651</v>
      </c>
      <c r="H4" s="333" t="s">
        <v>1652</v>
      </c>
      <c r="I4" s="333" t="s">
        <v>1653</v>
      </c>
      <c r="J4" s="333" t="s">
        <v>1654</v>
      </c>
      <c r="K4" s="333" t="s">
        <v>1733</v>
      </c>
      <c r="L4" s="333" t="s">
        <v>299</v>
      </c>
      <c r="M4" s="333" t="s">
        <v>1025</v>
      </c>
      <c r="N4" s="333" t="s">
        <v>1480</v>
      </c>
      <c r="O4" s="333" t="s">
        <v>1656</v>
      </c>
      <c r="P4" s="333" t="s">
        <v>1657</v>
      </c>
      <c r="Q4" s="333" t="s">
        <v>1734</v>
      </c>
      <c r="R4" s="333" t="s">
        <v>1658</v>
      </c>
      <c r="S4" s="333" t="s">
        <v>1479</v>
      </c>
      <c r="T4" s="333" t="s">
        <v>1480</v>
      </c>
      <c r="U4" s="333" t="s">
        <v>3</v>
      </c>
    </row>
    <row r="5" spans="1:21" ht="13.5" thickBot="1" x14ac:dyDescent="0.25">
      <c r="A5" s="334">
        <v>43905</v>
      </c>
      <c r="B5" s="335" t="s">
        <v>1115</v>
      </c>
      <c r="C5" s="335" t="s">
        <v>1767</v>
      </c>
      <c r="D5" s="335" t="s">
        <v>1124</v>
      </c>
      <c r="E5" s="335" t="s">
        <v>1840</v>
      </c>
      <c r="F5" s="337" t="s">
        <v>1756</v>
      </c>
      <c r="G5" s="338">
        <v>272.69</v>
      </c>
      <c r="H5" s="338">
        <v>285.3</v>
      </c>
      <c r="I5" s="338">
        <v>0</v>
      </c>
      <c r="J5" s="338">
        <f>H5</f>
        <v>285.3</v>
      </c>
      <c r="K5" s="335" t="s">
        <v>1563</v>
      </c>
      <c r="L5" s="335" t="s">
        <v>1525</v>
      </c>
      <c r="M5" s="335" t="s">
        <v>318</v>
      </c>
      <c r="N5" s="335" t="s">
        <v>1110</v>
      </c>
      <c r="O5" s="335" t="s">
        <v>1661</v>
      </c>
      <c r="P5" s="335" t="s">
        <v>1662</v>
      </c>
      <c r="Q5" s="334">
        <v>43961</v>
      </c>
      <c r="R5" s="335" t="s">
        <v>1678</v>
      </c>
      <c r="S5" s="443" t="s">
        <v>1565</v>
      </c>
    </row>
    <row r="6" spans="1:21" ht="13.5" thickBot="1" x14ac:dyDescent="0.25">
      <c r="A6" s="334">
        <v>43985</v>
      </c>
      <c r="B6" s="335" t="s">
        <v>1115</v>
      </c>
      <c r="C6" s="335" t="s">
        <v>1841</v>
      </c>
      <c r="D6" s="335" t="s">
        <v>1156</v>
      </c>
      <c r="E6" s="335" t="s">
        <v>1156</v>
      </c>
      <c r="F6" s="337" t="s">
        <v>1660</v>
      </c>
      <c r="G6" s="338">
        <v>22.6</v>
      </c>
      <c r="H6" s="338">
        <v>22.6</v>
      </c>
      <c r="I6" s="338">
        <v>2.95</v>
      </c>
      <c r="J6" s="338">
        <v>19.649999999999999</v>
      </c>
      <c r="K6" s="335" t="s">
        <v>414</v>
      </c>
      <c r="L6" s="335" t="s">
        <v>1525</v>
      </c>
      <c r="M6" s="335" t="s">
        <v>318</v>
      </c>
      <c r="N6" s="335" t="s">
        <v>1110</v>
      </c>
      <c r="O6" s="335" t="s">
        <v>1661</v>
      </c>
      <c r="P6" s="335" t="s">
        <v>1662</v>
      </c>
      <c r="Q6" s="334">
        <v>44011</v>
      </c>
      <c r="R6" s="335" t="s">
        <v>1663</v>
      </c>
      <c r="S6" s="443" t="s">
        <v>1385</v>
      </c>
    </row>
    <row r="7" spans="1:21" x14ac:dyDescent="0.2">
      <c r="A7" s="877">
        <v>44019</v>
      </c>
      <c r="B7" s="878"/>
      <c r="C7" s="878"/>
      <c r="D7" s="878"/>
      <c r="E7" s="878"/>
      <c r="F7" s="879">
        <v>1</v>
      </c>
      <c r="G7" s="878"/>
      <c r="H7" s="878"/>
      <c r="I7" s="878"/>
      <c r="J7" s="878"/>
      <c r="K7" s="878"/>
      <c r="L7" s="878"/>
      <c r="M7" s="881">
        <v>0.67892361000000001</v>
      </c>
      <c r="N7" s="878"/>
      <c r="O7" s="878"/>
      <c r="P7" s="878"/>
      <c r="Q7" s="878"/>
      <c r="R7" s="878"/>
    </row>
  </sheetData>
  <mergeCells count="6">
    <mergeCell ref="A1:R1"/>
    <mergeCell ref="A2:R2"/>
    <mergeCell ref="A3:R3"/>
    <mergeCell ref="A7:E7"/>
    <mergeCell ref="F7:L7"/>
    <mergeCell ref="M7:R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8142-1F56-462E-B186-4FEC0EF4D2A8}">
  <sheetPr>
    <tabColor theme="7"/>
  </sheetPr>
  <dimension ref="A1:J77"/>
  <sheetViews>
    <sheetView topLeftCell="A43" workbookViewId="0">
      <selection activeCell="A77" sqref="A77:G77"/>
    </sheetView>
  </sheetViews>
  <sheetFormatPr defaultRowHeight="12.75" x14ac:dyDescent="0.2"/>
  <sheetData>
    <row r="1" spans="1:10" ht="18" x14ac:dyDescent="0.25">
      <c r="A1" s="209" t="s">
        <v>1489</v>
      </c>
      <c r="B1" s="209"/>
      <c r="C1" s="209"/>
      <c r="D1" s="212" t="s">
        <v>1490</v>
      </c>
      <c r="E1" s="212"/>
      <c r="F1" s="875" t="s">
        <v>1491</v>
      </c>
      <c r="G1" s="875"/>
      <c r="H1" s="218"/>
      <c r="I1" s="218"/>
      <c r="J1" s="218"/>
    </row>
    <row r="2" spans="1:10" ht="18" x14ac:dyDescent="0.25">
      <c r="A2" s="210"/>
      <c r="B2" s="210"/>
      <c r="C2" s="210"/>
      <c r="D2" s="212" t="s">
        <v>1492</v>
      </c>
      <c r="E2" s="212"/>
      <c r="F2" s="876">
        <v>43788</v>
      </c>
      <c r="G2" s="876"/>
      <c r="H2" s="218"/>
      <c r="I2" s="218"/>
      <c r="J2" s="218"/>
    </row>
    <row r="3" spans="1:10" x14ac:dyDescent="0.2">
      <c r="A3" s="206"/>
      <c r="B3" s="206"/>
      <c r="C3" s="206"/>
      <c r="D3" s="213"/>
      <c r="E3" s="213"/>
      <c r="F3" s="213"/>
      <c r="G3" s="214"/>
      <c r="H3" s="214"/>
      <c r="I3" s="214"/>
      <c r="J3" s="214"/>
    </row>
    <row r="4" spans="1:10" x14ac:dyDescent="0.2">
      <c r="A4" s="206"/>
      <c r="B4" s="206"/>
      <c r="C4" s="206"/>
      <c r="D4" s="215" t="s">
        <v>1493</v>
      </c>
      <c r="E4" s="215" t="s">
        <v>1494</v>
      </c>
      <c r="F4" s="215" t="s">
        <v>1495</v>
      </c>
      <c r="G4" s="214"/>
      <c r="H4" s="214"/>
      <c r="I4" s="214"/>
      <c r="J4" s="214"/>
    </row>
    <row r="5" spans="1:10" x14ac:dyDescent="0.2">
      <c r="A5" s="211" t="s">
        <v>1496</v>
      </c>
      <c r="B5" s="211" t="s">
        <v>1497</v>
      </c>
      <c r="C5" s="211" t="s">
        <v>1498</v>
      </c>
      <c r="D5" s="216" t="s">
        <v>1499</v>
      </c>
      <c r="E5" s="216" t="s">
        <v>1499</v>
      </c>
      <c r="F5" s="216">
        <v>3925</v>
      </c>
      <c r="G5" s="217" t="s">
        <v>1500</v>
      </c>
      <c r="H5" s="219"/>
      <c r="I5" s="220"/>
      <c r="J5" s="221" t="s">
        <v>1501</v>
      </c>
    </row>
    <row r="6" spans="1:10" x14ac:dyDescent="0.2">
      <c r="A6" s="222" t="s">
        <v>1502</v>
      </c>
      <c r="B6" s="223" t="s">
        <v>55</v>
      </c>
      <c r="C6" s="224">
        <v>100</v>
      </c>
      <c r="D6" s="225">
        <v>22</v>
      </c>
      <c r="E6" s="226">
        <v>0.85</v>
      </c>
      <c r="F6" s="227">
        <v>28</v>
      </c>
      <c r="G6" s="228">
        <v>50.85</v>
      </c>
      <c r="H6" s="214"/>
      <c r="I6" s="229">
        <v>400</v>
      </c>
      <c r="J6" s="230">
        <v>293.07</v>
      </c>
    </row>
    <row r="7" spans="1:10" x14ac:dyDescent="0.2">
      <c r="A7" s="222" t="s">
        <v>1503</v>
      </c>
      <c r="B7" s="223" t="s">
        <v>1504</v>
      </c>
      <c r="C7" s="224">
        <v>100</v>
      </c>
      <c r="D7" s="225"/>
      <c r="E7" s="226">
        <v>0.85</v>
      </c>
      <c r="F7" s="227"/>
      <c r="G7" s="228">
        <v>0.85</v>
      </c>
      <c r="H7" s="214"/>
      <c r="I7" s="229">
        <v>420</v>
      </c>
      <c r="J7" s="230">
        <v>0</v>
      </c>
    </row>
    <row r="11" spans="1:10" x14ac:dyDescent="0.2">
      <c r="A11" s="22" t="s">
        <v>1842</v>
      </c>
      <c r="G11" s="351">
        <f>SUM(G6:G7)</f>
        <v>51.7</v>
      </c>
    </row>
    <row r="14" spans="1:10" ht="18" x14ac:dyDescent="0.25">
      <c r="A14" s="209" t="s">
        <v>1489</v>
      </c>
      <c r="B14" s="209"/>
      <c r="C14" s="209"/>
      <c r="D14" s="212" t="s">
        <v>1490</v>
      </c>
      <c r="E14" s="212"/>
      <c r="F14" s="875" t="s">
        <v>1491</v>
      </c>
      <c r="G14" s="875"/>
      <c r="H14" s="218"/>
      <c r="I14" s="218"/>
      <c r="J14" s="218"/>
    </row>
    <row r="15" spans="1:10" ht="18" x14ac:dyDescent="0.25">
      <c r="A15" s="210"/>
      <c r="B15" s="210"/>
      <c r="C15" s="210"/>
      <c r="D15" s="212" t="s">
        <v>1492</v>
      </c>
      <c r="E15" s="212"/>
      <c r="F15" s="876">
        <v>43818</v>
      </c>
      <c r="G15" s="876"/>
      <c r="H15" s="218"/>
      <c r="I15" s="218"/>
      <c r="J15" s="218"/>
    </row>
    <row r="16" spans="1:10" x14ac:dyDescent="0.2">
      <c r="A16" s="206"/>
      <c r="B16" s="206"/>
      <c r="C16" s="206"/>
      <c r="D16" s="213"/>
      <c r="E16" s="213"/>
      <c r="F16" s="213"/>
      <c r="G16" s="214"/>
      <c r="H16" s="214"/>
      <c r="I16" s="214"/>
      <c r="J16" s="214"/>
    </row>
    <row r="17" spans="1:10" x14ac:dyDescent="0.2">
      <c r="A17" s="206"/>
      <c r="B17" s="206"/>
      <c r="C17" s="206"/>
      <c r="D17" s="215" t="s">
        <v>1493</v>
      </c>
      <c r="E17" s="215" t="s">
        <v>1494</v>
      </c>
      <c r="F17" s="215" t="s">
        <v>1495</v>
      </c>
      <c r="G17" s="214"/>
      <c r="H17" s="214"/>
      <c r="I17" s="214"/>
      <c r="J17" s="214"/>
    </row>
    <row r="18" spans="1:10" x14ac:dyDescent="0.2">
      <c r="A18" s="211" t="s">
        <v>1496</v>
      </c>
      <c r="B18" s="211" t="s">
        <v>1497</v>
      </c>
      <c r="C18" s="211" t="s">
        <v>1498</v>
      </c>
      <c r="D18" s="216" t="s">
        <v>1499</v>
      </c>
      <c r="E18" s="216" t="s">
        <v>1499</v>
      </c>
      <c r="F18" s="216">
        <v>3925</v>
      </c>
      <c r="G18" s="217" t="s">
        <v>1500</v>
      </c>
      <c r="H18" s="219"/>
      <c r="I18" s="220"/>
      <c r="J18" s="221" t="s">
        <v>1501</v>
      </c>
    </row>
    <row r="19" spans="1:10" x14ac:dyDescent="0.2">
      <c r="A19" s="222" t="s">
        <v>1502</v>
      </c>
      <c r="B19" s="223" t="s">
        <v>55</v>
      </c>
      <c r="C19" s="224">
        <v>100</v>
      </c>
      <c r="D19" s="225">
        <v>22</v>
      </c>
      <c r="E19" s="226">
        <v>1.53</v>
      </c>
      <c r="F19" s="227">
        <v>35</v>
      </c>
      <c r="G19" s="228">
        <v>58.53</v>
      </c>
      <c r="H19" s="214"/>
      <c r="I19" s="229">
        <v>400</v>
      </c>
      <c r="J19" s="230">
        <v>171.37</v>
      </c>
    </row>
    <row r="20" spans="1:10" x14ac:dyDescent="0.2">
      <c r="A20" s="222" t="s">
        <v>1503</v>
      </c>
      <c r="B20" s="223" t="s">
        <v>1504</v>
      </c>
      <c r="C20" s="224">
        <v>100</v>
      </c>
      <c r="D20" s="225"/>
      <c r="E20" s="226">
        <v>0.85</v>
      </c>
      <c r="F20" s="227"/>
      <c r="G20" s="228">
        <v>0.85</v>
      </c>
      <c r="H20" s="214"/>
      <c r="I20" s="229">
        <v>420</v>
      </c>
      <c r="J20" s="230">
        <v>0</v>
      </c>
    </row>
    <row r="25" spans="1:10" x14ac:dyDescent="0.2">
      <c r="A25" s="22" t="s">
        <v>1843</v>
      </c>
      <c r="G25" s="351">
        <f>SUM(G19:G20)</f>
        <v>59.38</v>
      </c>
    </row>
    <row r="29" spans="1:10" ht="18" x14ac:dyDescent="0.25">
      <c r="A29" s="209" t="s">
        <v>1489</v>
      </c>
      <c r="B29" s="209"/>
      <c r="C29" s="209"/>
      <c r="D29" s="212" t="s">
        <v>1490</v>
      </c>
      <c r="E29" s="212"/>
      <c r="F29" s="875" t="s">
        <v>1491</v>
      </c>
      <c r="G29" s="875"/>
      <c r="H29" s="218"/>
      <c r="I29" s="218"/>
      <c r="J29" s="218"/>
    </row>
    <row r="30" spans="1:10" ht="18" x14ac:dyDescent="0.25">
      <c r="A30" s="210"/>
      <c r="B30" s="210"/>
      <c r="C30" s="210"/>
      <c r="D30" s="212" t="s">
        <v>1492</v>
      </c>
      <c r="E30" s="212"/>
      <c r="F30" s="876">
        <v>43849</v>
      </c>
      <c r="G30" s="876"/>
      <c r="H30" s="218"/>
      <c r="I30" s="218"/>
      <c r="J30" s="218"/>
    </row>
    <row r="31" spans="1:10" x14ac:dyDescent="0.2">
      <c r="A31" s="206"/>
      <c r="B31" s="206"/>
      <c r="C31" s="206"/>
      <c r="D31" s="213"/>
      <c r="E31" s="213"/>
      <c r="F31" s="213"/>
      <c r="G31" s="214"/>
      <c r="H31" s="214"/>
      <c r="I31" s="214"/>
      <c r="J31" s="214"/>
    </row>
    <row r="32" spans="1:10" x14ac:dyDescent="0.2">
      <c r="A32" s="206"/>
      <c r="B32" s="206"/>
      <c r="C32" s="206"/>
      <c r="D32" s="215" t="s">
        <v>1493</v>
      </c>
      <c r="E32" s="215" t="s">
        <v>1494</v>
      </c>
      <c r="F32" s="215" t="s">
        <v>1495</v>
      </c>
      <c r="G32" s="214"/>
      <c r="H32" s="214"/>
      <c r="I32" s="214"/>
      <c r="J32" s="214"/>
    </row>
    <row r="33" spans="1:10" x14ac:dyDescent="0.2">
      <c r="A33" s="211" t="s">
        <v>1496</v>
      </c>
      <c r="B33" s="211" t="s">
        <v>1497</v>
      </c>
      <c r="C33" s="211" t="s">
        <v>1498</v>
      </c>
      <c r="D33" s="216" t="s">
        <v>1499</v>
      </c>
      <c r="E33" s="216" t="s">
        <v>1499</v>
      </c>
      <c r="F33" s="216">
        <v>3925</v>
      </c>
      <c r="G33" s="217" t="s">
        <v>1500</v>
      </c>
      <c r="H33" s="219"/>
      <c r="I33" s="220"/>
      <c r="J33" s="221" t="s">
        <v>1501</v>
      </c>
    </row>
    <row r="34" spans="1:10" x14ac:dyDescent="0.2">
      <c r="A34" s="222" t="s">
        <v>1502</v>
      </c>
      <c r="B34" s="223" t="s">
        <v>55</v>
      </c>
      <c r="C34" s="224">
        <v>100</v>
      </c>
      <c r="D34" s="225">
        <v>22</v>
      </c>
      <c r="E34" s="226">
        <v>0.85</v>
      </c>
      <c r="F34" s="227">
        <v>70</v>
      </c>
      <c r="G34" s="228">
        <v>92.85</v>
      </c>
      <c r="H34" s="214"/>
      <c r="I34" s="229">
        <v>400</v>
      </c>
      <c r="J34" s="230">
        <v>95.67</v>
      </c>
    </row>
    <row r="35" spans="1:10" x14ac:dyDescent="0.2">
      <c r="A35" s="222" t="s">
        <v>1503</v>
      </c>
      <c r="B35" s="223" t="s">
        <v>1504</v>
      </c>
      <c r="C35" s="224">
        <v>100</v>
      </c>
      <c r="D35" s="225"/>
      <c r="E35" s="226">
        <v>0.85</v>
      </c>
      <c r="F35" s="227"/>
      <c r="G35" s="228">
        <v>0.85</v>
      </c>
      <c r="H35" s="214"/>
      <c r="I35" s="229">
        <v>420</v>
      </c>
      <c r="J35" s="230">
        <v>0</v>
      </c>
    </row>
    <row r="40" spans="1:10" x14ac:dyDescent="0.2">
      <c r="A40" s="22" t="s">
        <v>1844</v>
      </c>
      <c r="G40" s="351">
        <f>SUM(G34:G35)</f>
        <v>93.699999999999989</v>
      </c>
    </row>
    <row r="45" spans="1:10" ht="18" x14ac:dyDescent="0.25">
      <c r="A45" s="209" t="s">
        <v>1489</v>
      </c>
      <c r="B45" s="209"/>
      <c r="C45" s="209"/>
      <c r="D45" s="212" t="s">
        <v>1490</v>
      </c>
      <c r="E45" s="212"/>
      <c r="F45" s="875" t="s">
        <v>1491</v>
      </c>
      <c r="G45" s="875"/>
      <c r="H45" s="218"/>
      <c r="I45" s="218"/>
      <c r="J45" s="218"/>
    </row>
    <row r="46" spans="1:10" ht="18" x14ac:dyDescent="0.25">
      <c r="A46" s="210"/>
      <c r="B46" s="210"/>
      <c r="C46" s="210"/>
      <c r="D46" s="212" t="s">
        <v>1492</v>
      </c>
      <c r="E46" s="212"/>
      <c r="F46" s="876">
        <v>43880</v>
      </c>
      <c r="G46" s="876"/>
      <c r="H46" s="218"/>
      <c r="I46" s="218"/>
      <c r="J46" s="218"/>
    </row>
    <row r="47" spans="1:10" x14ac:dyDescent="0.2">
      <c r="A47" s="206"/>
      <c r="B47" s="206"/>
      <c r="C47" s="206"/>
      <c r="D47" s="213"/>
      <c r="E47" s="213"/>
      <c r="F47" s="213"/>
      <c r="G47" s="214"/>
      <c r="H47" s="214"/>
      <c r="I47" s="214"/>
      <c r="J47" s="214"/>
    </row>
    <row r="48" spans="1:10" x14ac:dyDescent="0.2">
      <c r="A48" s="206"/>
      <c r="B48" s="206"/>
      <c r="C48" s="206"/>
      <c r="D48" s="215" t="s">
        <v>1493</v>
      </c>
      <c r="E48" s="215" t="s">
        <v>1494</v>
      </c>
      <c r="F48" s="215" t="s">
        <v>1495</v>
      </c>
      <c r="G48" s="214"/>
      <c r="H48" s="214"/>
      <c r="I48" s="214"/>
      <c r="J48" s="214"/>
    </row>
    <row r="49" spans="1:10" x14ac:dyDescent="0.2">
      <c r="A49" s="211" t="s">
        <v>1496</v>
      </c>
      <c r="B49" s="211" t="s">
        <v>1497</v>
      </c>
      <c r="C49" s="211" t="s">
        <v>1498</v>
      </c>
      <c r="D49" s="216" t="s">
        <v>1499</v>
      </c>
      <c r="E49" s="216" t="s">
        <v>1499</v>
      </c>
      <c r="F49" s="216">
        <v>3925</v>
      </c>
      <c r="G49" s="217" t="s">
        <v>1500</v>
      </c>
      <c r="H49" s="219"/>
      <c r="I49" s="220"/>
      <c r="J49" s="221" t="s">
        <v>1501</v>
      </c>
    </row>
    <row r="50" spans="1:10" x14ac:dyDescent="0.2">
      <c r="A50" s="222" t="s">
        <v>1502</v>
      </c>
      <c r="B50" s="223" t="s">
        <v>55</v>
      </c>
      <c r="C50" s="224">
        <v>100</v>
      </c>
      <c r="D50" s="225">
        <v>22</v>
      </c>
      <c r="E50" s="226">
        <v>1.19</v>
      </c>
      <c r="F50" s="227"/>
      <c r="G50" s="228">
        <v>23.19</v>
      </c>
      <c r="H50" s="214"/>
      <c r="I50" s="229">
        <v>400</v>
      </c>
      <c r="J50" s="230">
        <v>99.940000000000012</v>
      </c>
    </row>
    <row r="51" spans="1:10" x14ac:dyDescent="0.2">
      <c r="A51" s="222" t="s">
        <v>1503</v>
      </c>
      <c r="B51" s="223" t="s">
        <v>1504</v>
      </c>
      <c r="C51" s="224">
        <v>100</v>
      </c>
      <c r="D51" s="225"/>
      <c r="E51" s="226">
        <v>0.85</v>
      </c>
      <c r="F51" s="227"/>
      <c r="G51" s="228">
        <v>0.85</v>
      </c>
      <c r="H51" s="214"/>
      <c r="I51" s="229">
        <v>420</v>
      </c>
      <c r="J51" s="230">
        <v>0</v>
      </c>
    </row>
    <row r="58" spans="1:10" x14ac:dyDescent="0.2">
      <c r="A58" s="22" t="s">
        <v>1845</v>
      </c>
      <c r="G58" s="351">
        <f>SUM(G50:G51)</f>
        <v>24.040000000000003</v>
      </c>
    </row>
    <row r="65" spans="1:10" ht="18" x14ac:dyDescent="0.25">
      <c r="A65" s="209" t="s">
        <v>1489</v>
      </c>
      <c r="B65" s="209"/>
      <c r="C65" s="209"/>
      <c r="D65" s="212" t="s">
        <v>1490</v>
      </c>
      <c r="E65" s="212"/>
      <c r="F65" s="875" t="s">
        <v>1491</v>
      </c>
      <c r="G65" s="875"/>
      <c r="H65" s="218"/>
      <c r="I65" s="218"/>
      <c r="J65" s="218"/>
    </row>
    <row r="66" spans="1:10" ht="18" x14ac:dyDescent="0.25">
      <c r="A66" s="210"/>
      <c r="B66" s="210"/>
      <c r="C66" s="210"/>
      <c r="D66" s="212" t="s">
        <v>1492</v>
      </c>
      <c r="E66" s="212"/>
      <c r="F66" s="876">
        <v>43909</v>
      </c>
      <c r="G66" s="876"/>
      <c r="H66" s="218"/>
      <c r="I66" s="218"/>
      <c r="J66" s="218"/>
    </row>
    <row r="67" spans="1:10" x14ac:dyDescent="0.2">
      <c r="A67" s="206"/>
      <c r="B67" s="206"/>
      <c r="C67" s="206"/>
      <c r="D67" s="213"/>
      <c r="E67" s="213"/>
      <c r="F67" s="213"/>
      <c r="G67" s="214"/>
      <c r="H67" s="214"/>
      <c r="I67" s="214"/>
      <c r="J67" s="214"/>
    </row>
    <row r="68" spans="1:10" x14ac:dyDescent="0.2">
      <c r="A68" s="206"/>
      <c r="B68" s="206"/>
      <c r="C68" s="206"/>
      <c r="D68" s="215" t="s">
        <v>1493</v>
      </c>
      <c r="E68" s="215" t="s">
        <v>1494</v>
      </c>
      <c r="F68" s="215" t="s">
        <v>1495</v>
      </c>
      <c r="G68" s="214"/>
      <c r="H68" s="214"/>
      <c r="I68" s="214"/>
      <c r="J68" s="214"/>
    </row>
    <row r="69" spans="1:10" x14ac:dyDescent="0.2">
      <c r="A69" s="211" t="s">
        <v>1496</v>
      </c>
      <c r="B69" s="211" t="s">
        <v>1497</v>
      </c>
      <c r="C69" s="211" t="s">
        <v>1498</v>
      </c>
      <c r="D69" s="216" t="s">
        <v>1499</v>
      </c>
      <c r="E69" s="216" t="s">
        <v>1499</v>
      </c>
      <c r="F69" s="216">
        <v>3925</v>
      </c>
      <c r="G69" s="217" t="s">
        <v>1500</v>
      </c>
      <c r="H69" s="219"/>
      <c r="I69" s="220"/>
      <c r="J69" s="221" t="s">
        <v>1501</v>
      </c>
    </row>
    <row r="70" spans="1:10" x14ac:dyDescent="0.2">
      <c r="A70" s="222" t="s">
        <v>1502</v>
      </c>
      <c r="B70" s="223" t="s">
        <v>55</v>
      </c>
      <c r="C70" s="224">
        <v>100</v>
      </c>
      <c r="D70" s="225">
        <v>22</v>
      </c>
      <c r="E70" s="226">
        <v>0.85</v>
      </c>
      <c r="F70" s="227"/>
      <c r="G70" s="228">
        <v>22.85</v>
      </c>
      <c r="H70" s="214"/>
      <c r="I70" s="229">
        <v>400</v>
      </c>
      <c r="J70" s="230">
        <v>151.35</v>
      </c>
    </row>
    <row r="71" spans="1:10" x14ac:dyDescent="0.2">
      <c r="A71" s="222" t="s">
        <v>1503</v>
      </c>
      <c r="B71" s="223" t="s">
        <v>1504</v>
      </c>
      <c r="C71" s="224">
        <v>100</v>
      </c>
      <c r="D71" s="225"/>
      <c r="E71" s="226">
        <v>0.85</v>
      </c>
      <c r="F71" s="227"/>
      <c r="G71" s="228">
        <v>0.85</v>
      </c>
      <c r="H71" s="214"/>
      <c r="I71" s="229">
        <v>420</v>
      </c>
      <c r="J71" s="230">
        <v>0</v>
      </c>
    </row>
    <row r="77" spans="1:10" x14ac:dyDescent="0.2">
      <c r="A77" s="22" t="s">
        <v>1846</v>
      </c>
      <c r="G77" s="351">
        <f>SUM(G70:G71)</f>
        <v>23.700000000000003</v>
      </c>
    </row>
  </sheetData>
  <mergeCells count="10">
    <mergeCell ref="F45:G45"/>
    <mergeCell ref="F46:G46"/>
    <mergeCell ref="F65:G65"/>
    <mergeCell ref="F66:G66"/>
    <mergeCell ref="F1:G1"/>
    <mergeCell ref="F2:G2"/>
    <mergeCell ref="F14:G14"/>
    <mergeCell ref="F15:G15"/>
    <mergeCell ref="F29:G29"/>
    <mergeCell ref="F30:G3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5929-FA77-4834-A287-3EE4ABB908AA}">
  <sheetPr>
    <tabColor theme="9"/>
    <pageSetUpPr fitToPage="1"/>
  </sheetPr>
  <dimension ref="A8:S57"/>
  <sheetViews>
    <sheetView topLeftCell="A13" zoomScaleNormal="100" workbookViewId="0">
      <selection activeCell="G46" sqref="G46"/>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t="s">
        <v>1850</v>
      </c>
      <c r="C15" s="238"/>
      <c r="M15" s="239"/>
      <c r="N15" s="239"/>
    </row>
    <row r="16" spans="1:19" x14ac:dyDescent="0.25">
      <c r="A16" s="237" t="s">
        <v>1851</v>
      </c>
      <c r="B16" s="582" t="s">
        <v>134</v>
      </c>
      <c r="M16" s="239"/>
      <c r="N16" s="239"/>
      <c r="O16" s="239"/>
      <c r="P16" s="239"/>
      <c r="Q16" s="240"/>
      <c r="R16" s="239"/>
      <c r="S16" s="240"/>
    </row>
    <row r="17" spans="1:19" x14ac:dyDescent="0.25">
      <c r="A17" s="237" t="s">
        <v>1852</v>
      </c>
      <c r="B17" s="582" t="s">
        <v>1853</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237"/>
      <c r="C19" s="241"/>
      <c r="M19" s="239"/>
      <c r="N19" s="239"/>
      <c r="O19" s="239"/>
      <c r="P19" s="239"/>
      <c r="Q19" s="240"/>
      <c r="R19" s="239"/>
      <c r="S19" s="240"/>
    </row>
    <row r="20" spans="1:19" x14ac:dyDescent="0.25">
      <c r="A20" s="237"/>
      <c r="B20" s="237"/>
      <c r="M20" s="239"/>
      <c r="N20" s="239"/>
      <c r="O20" s="239"/>
      <c r="P20" s="239"/>
      <c r="Q20" s="240"/>
      <c r="R20" s="239"/>
      <c r="S20" s="240"/>
    </row>
    <row r="21" spans="1:19" ht="31.5" x14ac:dyDescent="0.25">
      <c r="A21" s="243" t="s">
        <v>1854</v>
      </c>
      <c r="B21" s="244" t="s">
        <v>1855</v>
      </c>
      <c r="C21" s="244" t="s">
        <v>1856</v>
      </c>
      <c r="D21" s="244" t="s">
        <v>1857</v>
      </c>
      <c r="E21" s="244" t="s">
        <v>1858</v>
      </c>
      <c r="F21" s="244" t="s">
        <v>1480</v>
      </c>
      <c r="L21" s="245"/>
      <c r="M21" s="246"/>
      <c r="N21" s="239"/>
      <c r="O21" s="246"/>
      <c r="P21" s="246"/>
      <c r="Q21" s="246"/>
      <c r="R21" s="240"/>
      <c r="S21" s="240"/>
    </row>
    <row r="22" spans="1:19" x14ac:dyDescent="0.25">
      <c r="A22" s="247" t="s">
        <v>1859</v>
      </c>
      <c r="B22" s="584" t="s">
        <v>1860</v>
      </c>
      <c r="C22" s="249">
        <v>3605</v>
      </c>
      <c r="D22" s="250">
        <f>GETPIVOTDATA("Net",'Orbit May-Jun 19'!$A$58,"A/C Code",3605,"Departure Date",DATE(2019,7,4),"Reason for Travel","Attend the 2019 Global Internship Conference in Auckland")</f>
        <v>8</v>
      </c>
      <c r="E22" s="241">
        <v>43650</v>
      </c>
      <c r="F22" s="585" t="s">
        <v>134</v>
      </c>
      <c r="G22" s="248"/>
      <c r="L22" s="245"/>
      <c r="M22" s="246"/>
      <c r="N22" s="239"/>
      <c r="O22" s="246"/>
      <c r="P22" s="246"/>
      <c r="Q22" s="246"/>
      <c r="R22" s="240"/>
      <c r="S22" s="240"/>
    </row>
    <row r="23" spans="1:19" x14ac:dyDescent="0.25">
      <c r="A23" s="248"/>
      <c r="B23" s="584" t="s">
        <v>1861</v>
      </c>
      <c r="C23" s="249">
        <v>3610</v>
      </c>
      <c r="D23" s="250">
        <f>GETPIVOTDATA("Net",'Orbit May-Jun 19'!$A$58,"A/C Code",3610,"Departure Date",DATE(2019,7,4),"Reason for Travel","Attend the 2019 Global Internship Conference in Auckland")</f>
        <v>273.76</v>
      </c>
      <c r="E23" s="241"/>
      <c r="F23" s="585"/>
      <c r="G23" s="248"/>
      <c r="L23" s="245"/>
      <c r="M23" s="246"/>
      <c r="N23" s="239"/>
      <c r="O23" s="246"/>
      <c r="P23" s="246"/>
      <c r="Q23" s="246"/>
      <c r="R23" s="240"/>
      <c r="S23" s="240"/>
    </row>
    <row r="24" spans="1:19" x14ac:dyDescent="0.25">
      <c r="A24" s="248"/>
      <c r="B24" s="584" t="s">
        <v>1862</v>
      </c>
      <c r="C24" s="249">
        <v>3605</v>
      </c>
      <c r="D24" s="250">
        <f>GETPIVOTDATA("Net",'Orbit Jul-Oct 19'!$A$94,"A/C Code",3605,"Departure Date",DATE(2019,7,4),"Reason for Travel","Attend the 2019 Global Internship Conference in Auckland")</f>
        <v>17</v>
      </c>
      <c r="E24" s="241"/>
      <c r="F24" s="585"/>
      <c r="G24" s="248"/>
      <c r="L24" s="245"/>
      <c r="M24" s="246"/>
      <c r="N24" s="239"/>
      <c r="O24" s="246"/>
      <c r="P24" s="246"/>
      <c r="Q24" s="246"/>
      <c r="R24" s="240"/>
      <c r="S24" s="240"/>
    </row>
    <row r="25" spans="1:19" x14ac:dyDescent="0.25">
      <c r="A25" s="248"/>
      <c r="B25" s="584" t="s">
        <v>1863</v>
      </c>
      <c r="C25" s="249">
        <v>3610</v>
      </c>
      <c r="D25" s="255">
        <f>GETPIVOTDATA("Net",'Orbit Jul-Oct 19'!$A$94,"A/C Code",3610,"Departure Date",DATE(2019,7,4),"Reason for Travel","Attend the 2019 Global Internship Conference in Auckland")</f>
        <v>120.95</v>
      </c>
      <c r="E25" s="241"/>
      <c r="F25" s="585"/>
      <c r="G25" s="248"/>
      <c r="L25" s="245"/>
      <c r="M25" s="246"/>
      <c r="N25" s="239"/>
      <c r="O25" s="246"/>
      <c r="P25" s="246"/>
      <c r="Q25" s="246"/>
      <c r="R25" s="240"/>
      <c r="S25" s="240"/>
    </row>
    <row r="26" spans="1:19" s="248" customFormat="1" x14ac:dyDescent="0.25">
      <c r="A26" s="237"/>
      <c r="C26" s="249"/>
      <c r="D26" s="250">
        <f>SUM(D22:D25)</f>
        <v>419.71</v>
      </c>
      <c r="E26" s="256"/>
      <c r="F26" s="233"/>
      <c r="L26" s="251"/>
      <c r="M26" s="252"/>
      <c r="N26" s="253"/>
      <c r="O26" s="252"/>
      <c r="P26" s="252"/>
      <c r="Q26" s="252"/>
      <c r="R26" s="254"/>
      <c r="S26" s="254"/>
    </row>
    <row r="27" spans="1:19" s="248" customFormat="1" x14ac:dyDescent="0.25">
      <c r="A27" s="237"/>
      <c r="C27" s="249"/>
      <c r="D27" s="250"/>
      <c r="E27" s="233"/>
      <c r="F27" s="233"/>
      <c r="G27" s="233"/>
      <c r="L27" s="251"/>
      <c r="M27" s="252"/>
      <c r="N27" s="253"/>
      <c r="O27" s="252"/>
      <c r="P27" s="252"/>
      <c r="Q27" s="252"/>
      <c r="R27" s="254"/>
      <c r="S27" s="254"/>
    </row>
    <row r="28" spans="1:19" x14ac:dyDescent="0.25">
      <c r="A28" s="257" t="s">
        <v>1864</v>
      </c>
      <c r="B28" s="586" t="s">
        <v>1865</v>
      </c>
      <c r="C28" s="258" t="s">
        <v>386</v>
      </c>
      <c r="D28" s="259">
        <v>185.79</v>
      </c>
      <c r="E28" s="241">
        <v>43651</v>
      </c>
      <c r="F28" s="582" t="s">
        <v>134</v>
      </c>
      <c r="L28" s="245"/>
      <c r="M28" s="246"/>
      <c r="N28" s="239"/>
      <c r="O28" s="246"/>
      <c r="P28" s="246"/>
      <c r="Q28" s="246"/>
      <c r="R28" s="240"/>
      <c r="S28" s="240"/>
    </row>
    <row r="29" spans="1:19" x14ac:dyDescent="0.25">
      <c r="A29" s="257"/>
      <c r="B29" s="582"/>
      <c r="C29" s="258"/>
      <c r="D29" s="259"/>
      <c r="E29" s="241"/>
      <c r="F29" s="582"/>
      <c r="L29" s="245"/>
      <c r="M29" s="246"/>
      <c r="N29" s="239"/>
      <c r="O29" s="246"/>
      <c r="P29" s="246"/>
      <c r="Q29" s="246"/>
      <c r="R29" s="240"/>
      <c r="S29" s="240"/>
    </row>
    <row r="30" spans="1:19" x14ac:dyDescent="0.25">
      <c r="A30" s="237"/>
      <c r="B30" s="248"/>
      <c r="C30" s="249"/>
      <c r="D30" s="250"/>
      <c r="E30" s="241"/>
      <c r="L30" s="245"/>
      <c r="M30" s="246"/>
      <c r="N30" s="239"/>
      <c r="O30" s="246"/>
      <c r="P30" s="246"/>
      <c r="Q30" s="246"/>
      <c r="R30" s="240"/>
      <c r="S30" s="240"/>
    </row>
    <row r="31" spans="1:19" x14ac:dyDescent="0.25">
      <c r="A31" s="237"/>
      <c r="B31" s="248"/>
      <c r="C31" s="249"/>
      <c r="D31" s="250"/>
      <c r="E31" s="241"/>
      <c r="L31" s="245"/>
      <c r="M31" s="246"/>
      <c r="N31" s="239"/>
      <c r="O31" s="246"/>
      <c r="P31" s="246"/>
      <c r="Q31" s="246"/>
      <c r="R31" s="240"/>
      <c r="S31" s="240"/>
    </row>
    <row r="32" spans="1:19" x14ac:dyDescent="0.25">
      <c r="A32" s="237" t="s">
        <v>1866</v>
      </c>
      <c r="B32" s="584" t="s">
        <v>1867</v>
      </c>
      <c r="C32" s="249">
        <v>3635</v>
      </c>
      <c r="D32" s="250">
        <f>GETPIVOTDATA("Net",'Orbit Jul-Oct 19'!$A$94,"A/C Code",3635,"Departure Date",DATE(2019,7,4),"Reason for Travel","Attend the 2019 Global Internship Conference in Auckland")</f>
        <v>61.74</v>
      </c>
      <c r="E32" s="241">
        <v>43650</v>
      </c>
      <c r="F32" s="582" t="s">
        <v>134</v>
      </c>
      <c r="L32" s="245"/>
      <c r="M32" s="246"/>
      <c r="N32" s="239"/>
      <c r="O32" s="246"/>
      <c r="P32" s="246"/>
      <c r="Q32" s="246"/>
      <c r="R32" s="240"/>
      <c r="S32" s="240"/>
    </row>
    <row r="33" spans="1:19" x14ac:dyDescent="0.25">
      <c r="A33" s="237"/>
      <c r="B33" s="248"/>
      <c r="C33" s="249"/>
      <c r="D33" s="250"/>
      <c r="E33" s="241"/>
      <c r="L33" s="245"/>
      <c r="M33" s="246"/>
      <c r="N33" s="239"/>
      <c r="O33" s="246"/>
      <c r="P33" s="246"/>
      <c r="Q33" s="246"/>
      <c r="R33" s="240"/>
      <c r="S33" s="240"/>
    </row>
    <row r="34" spans="1:19" x14ac:dyDescent="0.25">
      <c r="A34" s="237"/>
      <c r="B34" s="248"/>
      <c r="C34" s="249"/>
      <c r="D34" s="250"/>
      <c r="E34" s="241"/>
      <c r="L34" s="245"/>
      <c r="M34" s="246"/>
      <c r="N34" s="239"/>
      <c r="O34" s="246"/>
      <c r="P34" s="246"/>
      <c r="Q34" s="246"/>
      <c r="R34" s="240"/>
      <c r="S34" s="240"/>
    </row>
    <row r="35" spans="1:19" x14ac:dyDescent="0.25">
      <c r="A35" s="237"/>
      <c r="B35" s="248"/>
      <c r="C35" s="249"/>
      <c r="D35" s="250"/>
      <c r="E35" s="241"/>
      <c r="L35" s="245"/>
      <c r="M35" s="246"/>
      <c r="N35" s="239"/>
      <c r="O35" s="246"/>
      <c r="P35" s="246"/>
      <c r="Q35" s="246"/>
      <c r="R35" s="240"/>
      <c r="S35" s="240"/>
    </row>
    <row r="36" spans="1:19" x14ac:dyDescent="0.25">
      <c r="A36" s="237" t="s">
        <v>1868</v>
      </c>
      <c r="B36" s="584" t="s">
        <v>1869</v>
      </c>
      <c r="C36" s="249" t="s">
        <v>386</v>
      </c>
      <c r="D36" s="250">
        <v>23.83</v>
      </c>
      <c r="E36" s="241">
        <v>43650</v>
      </c>
      <c r="F36" s="582" t="s">
        <v>134</v>
      </c>
      <c r="L36" s="245"/>
      <c r="M36" s="246"/>
      <c r="N36" s="239"/>
      <c r="O36" s="246"/>
      <c r="P36" s="246"/>
      <c r="Q36" s="246"/>
      <c r="R36" s="240"/>
      <c r="S36" s="240"/>
    </row>
    <row r="37" spans="1:19" x14ac:dyDescent="0.25">
      <c r="A37" s="237"/>
      <c r="B37" s="584" t="s">
        <v>1870</v>
      </c>
      <c r="C37" s="249" t="s">
        <v>386</v>
      </c>
      <c r="D37" s="250">
        <v>32.17</v>
      </c>
      <c r="E37" s="241">
        <v>43650</v>
      </c>
      <c r="F37" s="582" t="s">
        <v>134</v>
      </c>
      <c r="L37" s="245"/>
      <c r="M37" s="246"/>
      <c r="N37" s="239"/>
      <c r="O37" s="246"/>
      <c r="P37" s="246"/>
      <c r="Q37" s="246"/>
      <c r="R37" s="240"/>
      <c r="S37" s="240"/>
    </row>
    <row r="38" spans="1:19" x14ac:dyDescent="0.25">
      <c r="A38" s="237"/>
      <c r="B38" s="584" t="s">
        <v>1871</v>
      </c>
      <c r="C38" s="249" t="s">
        <v>386</v>
      </c>
      <c r="D38" s="255">
        <v>9.0399999999999991</v>
      </c>
      <c r="E38" s="241">
        <v>43650</v>
      </c>
      <c r="F38" s="582" t="s">
        <v>134</v>
      </c>
      <c r="L38" s="245"/>
      <c r="M38" s="246"/>
      <c r="N38" s="239"/>
      <c r="O38" s="246"/>
      <c r="P38" s="246"/>
      <c r="Q38" s="246"/>
      <c r="R38" s="240"/>
      <c r="S38" s="240"/>
    </row>
    <row r="39" spans="1:19" x14ac:dyDescent="0.25">
      <c r="A39" s="248"/>
      <c r="B39" s="584"/>
      <c r="C39" s="249"/>
      <c r="D39" s="250">
        <f>SUM(D36:D38)</f>
        <v>65.039999999999992</v>
      </c>
      <c r="E39" s="241"/>
      <c r="F39" s="582"/>
      <c r="L39" s="245"/>
      <c r="M39" s="246"/>
      <c r="N39" s="239"/>
      <c r="O39" s="246"/>
      <c r="P39" s="246"/>
      <c r="Q39" s="246"/>
      <c r="R39" s="240"/>
      <c r="S39" s="240"/>
    </row>
    <row r="40" spans="1:19" x14ac:dyDescent="0.25">
      <c r="D40" s="250"/>
      <c r="E40" s="241"/>
      <c r="L40" s="245"/>
      <c r="M40" s="246"/>
      <c r="N40" s="239"/>
      <c r="O40" s="246"/>
      <c r="P40" s="246"/>
      <c r="Q40" s="246"/>
      <c r="R40" s="240"/>
      <c r="S40" s="240"/>
    </row>
    <row r="41" spans="1:19" ht="15.75" thickBot="1" x14ac:dyDescent="0.3">
      <c r="A41" s="237" t="s">
        <v>1385</v>
      </c>
      <c r="B41" s="582" t="s">
        <v>1872</v>
      </c>
      <c r="C41" s="293">
        <v>3635</v>
      </c>
      <c r="D41" s="250">
        <v>73.040000000000006</v>
      </c>
      <c r="E41" s="241">
        <v>43651</v>
      </c>
      <c r="F41" s="582" t="s">
        <v>137</v>
      </c>
      <c r="L41" s="245"/>
      <c r="M41" s="246"/>
      <c r="N41" s="239"/>
      <c r="O41" s="246"/>
      <c r="P41" s="246"/>
      <c r="Q41" s="246"/>
      <c r="R41" s="240"/>
      <c r="S41" s="240"/>
    </row>
    <row r="42" spans="1:19" ht="15.75" thickBot="1" x14ac:dyDescent="0.3">
      <c r="B42" s="335"/>
      <c r="C42" s="293"/>
      <c r="D42" s="250"/>
      <c r="E42" s="241"/>
      <c r="F42" s="582"/>
      <c r="L42" s="245"/>
      <c r="M42" s="246"/>
      <c r="N42" s="239"/>
      <c r="O42" s="246"/>
      <c r="P42" s="246"/>
      <c r="Q42" s="246"/>
      <c r="R42" s="240"/>
      <c r="S42" s="240"/>
    </row>
    <row r="43" spans="1:19" x14ac:dyDescent="0.25">
      <c r="D43" s="250"/>
      <c r="E43" s="241"/>
      <c r="L43" s="245"/>
      <c r="M43" s="246"/>
      <c r="N43" s="239"/>
      <c r="O43" s="246"/>
      <c r="P43" s="246"/>
      <c r="Q43" s="246"/>
      <c r="R43" s="240"/>
      <c r="S43" s="240"/>
    </row>
    <row r="44" spans="1:19" x14ac:dyDescent="0.25">
      <c r="D44" s="250"/>
      <c r="E44" s="241"/>
      <c r="L44" s="245"/>
      <c r="M44" s="246"/>
      <c r="N44" s="239"/>
      <c r="O44" s="246"/>
      <c r="P44" s="246"/>
      <c r="Q44" s="246"/>
      <c r="R44" s="240"/>
      <c r="S44" s="240"/>
    </row>
    <row r="45" spans="1:19" x14ac:dyDescent="0.25">
      <c r="D45" s="250"/>
      <c r="E45" s="241"/>
      <c r="L45" s="245"/>
      <c r="M45" s="246"/>
      <c r="N45" s="239"/>
      <c r="O45" s="246"/>
      <c r="P45" s="246"/>
      <c r="Q45" s="246"/>
      <c r="R45" s="240"/>
      <c r="S45" s="240"/>
    </row>
    <row r="46" spans="1:19" x14ac:dyDescent="0.25">
      <c r="D46" s="250"/>
      <c r="E46" s="241"/>
      <c r="L46" s="245"/>
      <c r="M46" s="246"/>
      <c r="N46" s="239"/>
      <c r="O46" s="246"/>
      <c r="P46" s="246"/>
      <c r="Q46" s="246"/>
      <c r="R46" s="240"/>
      <c r="S46" s="240"/>
    </row>
    <row r="47" spans="1:19" ht="15.75" thickBot="1" x14ac:dyDescent="0.3">
      <c r="A47" s="237" t="s">
        <v>1873</v>
      </c>
      <c r="B47" s="237"/>
      <c r="D47" s="260">
        <f>D26+D28+D32+D39+D41</f>
        <v>805.31999999999994</v>
      </c>
      <c r="E47" s="241"/>
      <c r="L47" s="245"/>
      <c r="M47" s="246"/>
      <c r="N47" s="239"/>
      <c r="O47" s="246"/>
      <c r="P47" s="246"/>
      <c r="Q47" s="246"/>
      <c r="R47" s="240"/>
      <c r="S47" s="240"/>
    </row>
    <row r="48" spans="1:19" ht="15.75" thickTop="1" x14ac:dyDescent="0.25">
      <c r="D48" s="250"/>
      <c r="E48" s="241"/>
      <c r="L48" s="245"/>
      <c r="M48" s="246"/>
      <c r="N48" s="239"/>
      <c r="O48" s="246"/>
      <c r="P48" s="246"/>
      <c r="Q48" s="246"/>
      <c r="R48" s="240"/>
      <c r="S48" s="240"/>
    </row>
    <row r="49" spans="1:19" x14ac:dyDescent="0.25">
      <c r="E49" s="241"/>
      <c r="L49" s="245"/>
      <c r="M49" s="246"/>
      <c r="N49" s="239"/>
      <c r="O49" s="246"/>
      <c r="P49" s="246"/>
      <c r="Q49" s="246"/>
      <c r="R49" s="240"/>
      <c r="S49" s="240"/>
    </row>
    <row r="50" spans="1:19" x14ac:dyDescent="0.25">
      <c r="L50" s="245"/>
      <c r="M50" s="246"/>
      <c r="N50" s="239"/>
      <c r="O50" s="246"/>
      <c r="P50" s="246"/>
      <c r="Q50" s="246"/>
      <c r="R50" s="240"/>
      <c r="S50" s="240"/>
    </row>
    <row r="52" spans="1:19" x14ac:dyDescent="0.25">
      <c r="A52" s="261"/>
      <c r="C52" s="262"/>
      <c r="D52" s="261"/>
    </row>
    <row r="53" spans="1:19" x14ac:dyDescent="0.25">
      <c r="A53" s="233" t="s">
        <v>1874</v>
      </c>
      <c r="C53" s="233" t="s">
        <v>1102</v>
      </c>
      <c r="L53" s="245"/>
      <c r="M53" s="246"/>
      <c r="N53" s="239"/>
      <c r="O53" s="246"/>
      <c r="P53" s="246"/>
      <c r="Q53" s="246"/>
      <c r="R53" s="240"/>
      <c r="S53" s="240"/>
    </row>
    <row r="54" spans="1:19" x14ac:dyDescent="0.25">
      <c r="L54" s="245"/>
      <c r="M54" s="246"/>
      <c r="N54" s="239"/>
      <c r="O54" s="246"/>
      <c r="P54" s="246"/>
      <c r="Q54" s="246"/>
      <c r="R54" s="240"/>
      <c r="S54" s="240"/>
    </row>
    <row r="55" spans="1:19" x14ac:dyDescent="0.25">
      <c r="L55" s="245"/>
      <c r="M55" s="246"/>
      <c r="N55" s="239"/>
      <c r="O55" s="246"/>
      <c r="P55" s="246"/>
      <c r="Q55" s="246"/>
      <c r="R55" s="240"/>
      <c r="S55" s="240"/>
    </row>
    <row r="56" spans="1:19" x14ac:dyDescent="0.25">
      <c r="A56" s="261"/>
      <c r="C56" s="261"/>
      <c r="D56" s="261"/>
      <c r="L56" s="245"/>
      <c r="M56" s="246"/>
      <c r="N56" s="239"/>
      <c r="O56" s="246"/>
      <c r="P56" s="246"/>
      <c r="Q56" s="246"/>
      <c r="R56" s="240"/>
      <c r="S56" s="240"/>
    </row>
    <row r="57" spans="1:19" ht="14.25" customHeight="1" x14ac:dyDescent="0.25">
      <c r="A57" s="233" t="s">
        <v>1875</v>
      </c>
      <c r="C57" s="233" t="s">
        <v>1102</v>
      </c>
      <c r="L57" s="245"/>
      <c r="M57" s="246"/>
      <c r="N57" s="239"/>
      <c r="O57" s="246"/>
      <c r="P57" s="246"/>
      <c r="Q57" s="246"/>
      <c r="R57" s="240"/>
      <c r="S57"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EE0-3F2D-46CF-A058-54CFB61934F2}">
  <sheetPr>
    <tabColor theme="9"/>
    <pageSetUpPr fitToPage="1"/>
  </sheetPr>
  <dimension ref="A8:S54"/>
  <sheetViews>
    <sheetView topLeftCell="A13" zoomScaleNormal="100" workbookViewId="0">
      <selection activeCell="D37" sqref="D37"/>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t="s">
        <v>1876</v>
      </c>
      <c r="C15" s="238"/>
      <c r="M15" s="239"/>
      <c r="N15" s="239"/>
    </row>
    <row r="16" spans="1:19" x14ac:dyDescent="0.25">
      <c r="A16" s="237" t="s">
        <v>1851</v>
      </c>
      <c r="B16" s="582" t="s">
        <v>134</v>
      </c>
      <c r="M16" s="239"/>
      <c r="N16" s="239"/>
      <c r="O16" s="239"/>
      <c r="P16" s="239"/>
      <c r="Q16" s="240"/>
      <c r="R16" s="239"/>
      <c r="S16" s="240"/>
    </row>
    <row r="17" spans="1:19" x14ac:dyDescent="0.25">
      <c r="A17" s="237" t="s">
        <v>1852</v>
      </c>
      <c r="B17" s="582" t="s">
        <v>1877</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237"/>
      <c r="C19" s="241"/>
      <c r="M19" s="239"/>
      <c r="N19" s="239"/>
      <c r="O19" s="239"/>
      <c r="P19" s="239"/>
      <c r="Q19" s="240"/>
      <c r="R19" s="239"/>
      <c r="S19" s="240"/>
    </row>
    <row r="20" spans="1:19" x14ac:dyDescent="0.25">
      <c r="A20" s="237"/>
      <c r="B20" s="237"/>
      <c r="M20" s="239"/>
      <c r="N20" s="239"/>
      <c r="O20" s="239"/>
      <c r="P20" s="239"/>
      <c r="Q20" s="240"/>
      <c r="R20" s="239"/>
      <c r="S20" s="240"/>
    </row>
    <row r="21" spans="1:19" ht="31.5" x14ac:dyDescent="0.25">
      <c r="A21" s="243" t="s">
        <v>1854</v>
      </c>
      <c r="B21" s="244" t="s">
        <v>1855</v>
      </c>
      <c r="C21" s="244" t="s">
        <v>1856</v>
      </c>
      <c r="D21" s="244" t="s">
        <v>1857</v>
      </c>
      <c r="E21" s="244" t="s">
        <v>1858</v>
      </c>
      <c r="F21" s="244" t="s">
        <v>1480</v>
      </c>
      <c r="L21" s="245"/>
      <c r="M21" s="246"/>
      <c r="N21" s="239"/>
      <c r="O21" s="246"/>
      <c r="P21" s="246"/>
      <c r="Q21" s="246"/>
      <c r="R21" s="240"/>
      <c r="S21" s="240"/>
    </row>
    <row r="22" spans="1:19" x14ac:dyDescent="0.25">
      <c r="A22" s="247" t="s">
        <v>1859</v>
      </c>
      <c r="B22" s="584" t="s">
        <v>1860</v>
      </c>
      <c r="C22" s="249">
        <v>3605</v>
      </c>
      <c r="D22" s="250">
        <f>GETPIVOTDATA("Net",'Orbit May-Jun 19'!$A$58,"A/C Code",3605,"Departure Date",DATE(2019,8,6),"Reason for Travel","Attend NZIEC Conference &amp; ENZ Board Meeting")</f>
        <v>28</v>
      </c>
      <c r="E22" s="241">
        <v>43683</v>
      </c>
      <c r="F22" s="585" t="s">
        <v>134</v>
      </c>
      <c r="G22" s="248"/>
      <c r="L22" s="245"/>
      <c r="M22" s="246"/>
      <c r="N22" s="239"/>
      <c r="O22" s="246"/>
      <c r="P22" s="246"/>
      <c r="Q22" s="246"/>
      <c r="R22" s="240"/>
      <c r="S22" s="240"/>
    </row>
    <row r="23" spans="1:19" x14ac:dyDescent="0.25">
      <c r="A23" s="248"/>
      <c r="B23" s="584" t="s">
        <v>1861</v>
      </c>
      <c r="C23" s="249">
        <v>3610</v>
      </c>
      <c r="D23" s="255">
        <f>GETPIVOTDATA("Net",'Orbit May-Jun 19'!$A$58,"A/C Code",3610,"Departure Date",DATE(2019,8,6),"Reason for Travel","Attend NZIEC Conference &amp; ENZ Board Meeting")</f>
        <v>394.70000000000005</v>
      </c>
      <c r="E23" s="241"/>
      <c r="F23" s="585"/>
      <c r="G23" s="248"/>
      <c r="L23" s="245"/>
      <c r="M23" s="246"/>
      <c r="N23" s="239"/>
      <c r="O23" s="246"/>
      <c r="P23" s="246"/>
      <c r="Q23" s="246"/>
      <c r="R23" s="240"/>
      <c r="S23" s="240"/>
    </row>
    <row r="24" spans="1:19" s="248" customFormat="1" x14ac:dyDescent="0.25">
      <c r="A24" s="237"/>
      <c r="C24" s="249"/>
      <c r="D24" s="250">
        <f>SUM(D22:D23)</f>
        <v>422.70000000000005</v>
      </c>
      <c r="E24" s="256"/>
      <c r="F24" s="233"/>
      <c r="L24" s="251"/>
      <c r="M24" s="252"/>
      <c r="N24" s="253"/>
      <c r="O24" s="252"/>
      <c r="P24" s="252"/>
      <c r="Q24" s="252"/>
      <c r="R24" s="254"/>
      <c r="S24" s="254"/>
    </row>
    <row r="25" spans="1:19" s="248" customFormat="1" x14ac:dyDescent="0.25">
      <c r="A25" s="237"/>
      <c r="C25" s="249"/>
      <c r="D25" s="250"/>
      <c r="E25" s="233"/>
      <c r="F25" s="233"/>
      <c r="G25" s="233"/>
      <c r="L25" s="251"/>
      <c r="M25" s="252"/>
      <c r="N25" s="253"/>
      <c r="O25" s="252"/>
      <c r="P25" s="252"/>
      <c r="Q25" s="252"/>
      <c r="R25" s="254"/>
      <c r="S25" s="254"/>
    </row>
    <row r="26" spans="1:19" x14ac:dyDescent="0.25">
      <c r="A26" s="257" t="s">
        <v>1864</v>
      </c>
      <c r="B26" s="586" t="s">
        <v>1878</v>
      </c>
      <c r="C26" s="258" t="s">
        <v>386</v>
      </c>
      <c r="D26" s="259">
        <f>'Accredo GL Jul-Oct 19'!I149</f>
        <v>1011.5</v>
      </c>
      <c r="E26" s="241">
        <v>43683</v>
      </c>
      <c r="F26" s="582" t="s">
        <v>134</v>
      </c>
      <c r="L26" s="245"/>
      <c r="M26" s="246"/>
      <c r="N26" s="239"/>
      <c r="O26" s="246"/>
      <c r="P26" s="246"/>
      <c r="Q26" s="246"/>
      <c r="R26" s="240"/>
      <c r="S26" s="240"/>
    </row>
    <row r="27" spans="1:19" x14ac:dyDescent="0.25">
      <c r="A27" s="257"/>
      <c r="B27" s="582"/>
      <c r="C27" s="258"/>
      <c r="D27" s="259"/>
      <c r="E27" s="241"/>
      <c r="F27" s="582"/>
      <c r="L27" s="245"/>
      <c r="M27" s="246"/>
      <c r="N27" s="239"/>
      <c r="O27" s="246"/>
      <c r="P27" s="246"/>
      <c r="Q27" s="246"/>
      <c r="R27" s="240"/>
      <c r="S27" s="240"/>
    </row>
    <row r="28" spans="1:19" x14ac:dyDescent="0.25">
      <c r="A28" s="237"/>
      <c r="B28" s="248"/>
      <c r="C28" s="249"/>
      <c r="D28" s="250"/>
      <c r="E28" s="241"/>
      <c r="L28" s="245"/>
      <c r="M28" s="246"/>
      <c r="N28" s="239"/>
      <c r="O28" s="246"/>
      <c r="P28" s="246"/>
      <c r="Q28" s="246"/>
      <c r="R28" s="240"/>
      <c r="S28" s="240"/>
    </row>
    <row r="29" spans="1:19" x14ac:dyDescent="0.25">
      <c r="A29" s="237"/>
      <c r="B29" s="248"/>
      <c r="C29" s="249"/>
      <c r="D29" s="250"/>
      <c r="E29" s="241"/>
      <c r="L29" s="245"/>
      <c r="M29" s="246"/>
      <c r="N29" s="239"/>
      <c r="O29" s="246"/>
      <c r="P29" s="246"/>
      <c r="Q29" s="246"/>
      <c r="R29" s="240"/>
      <c r="S29" s="240"/>
    </row>
    <row r="30" spans="1:19" x14ac:dyDescent="0.25">
      <c r="A30" s="237" t="s">
        <v>399</v>
      </c>
      <c r="B30" s="584" t="s">
        <v>1879</v>
      </c>
      <c r="C30" s="249">
        <v>3630</v>
      </c>
      <c r="D30" s="250">
        <f>'Taxicharge Jul-Sep 19'!J2+'Taxicharge Jul-Sep 19'!J3+'Taxicharge Jul-Sep 19'!J4</f>
        <v>137.16</v>
      </c>
      <c r="E30" s="241">
        <v>43683</v>
      </c>
      <c r="F30" s="582" t="s">
        <v>134</v>
      </c>
      <c r="L30" s="245"/>
      <c r="M30" s="246"/>
      <c r="N30" s="239"/>
      <c r="O30" s="246"/>
      <c r="P30" s="246"/>
      <c r="Q30" s="246"/>
      <c r="R30" s="240"/>
      <c r="S30" s="240"/>
    </row>
    <row r="31" spans="1:19" x14ac:dyDescent="0.25">
      <c r="A31" s="237"/>
      <c r="B31" s="248"/>
      <c r="C31" s="249"/>
      <c r="D31" s="250"/>
      <c r="E31" s="241"/>
      <c r="L31" s="245"/>
      <c r="M31" s="246"/>
      <c r="N31" s="239"/>
      <c r="O31" s="246"/>
      <c r="P31" s="246"/>
      <c r="Q31" s="246"/>
      <c r="R31" s="240"/>
      <c r="S31" s="240"/>
    </row>
    <row r="32" spans="1:19" x14ac:dyDescent="0.25">
      <c r="A32" s="237"/>
      <c r="B32" s="248"/>
      <c r="C32" s="249"/>
      <c r="D32" s="250"/>
      <c r="E32" s="241"/>
      <c r="L32" s="245"/>
      <c r="M32" s="246"/>
      <c r="N32" s="239"/>
      <c r="O32" s="246"/>
      <c r="P32" s="246"/>
      <c r="Q32" s="246"/>
      <c r="R32" s="240"/>
      <c r="S32" s="240"/>
    </row>
    <row r="33" spans="1:19" x14ac:dyDescent="0.25">
      <c r="A33" s="237"/>
      <c r="B33" s="248"/>
      <c r="C33" s="249"/>
      <c r="D33" s="250"/>
      <c r="E33" s="241"/>
      <c r="L33" s="245"/>
      <c r="M33" s="246"/>
      <c r="N33" s="239"/>
      <c r="O33" s="246"/>
      <c r="P33" s="246"/>
      <c r="Q33" s="246"/>
      <c r="R33" s="240"/>
      <c r="S33" s="240"/>
    </row>
    <row r="34" spans="1:19" x14ac:dyDescent="0.25">
      <c r="A34" s="237" t="s">
        <v>1868</v>
      </c>
      <c r="B34" s="584" t="s">
        <v>1880</v>
      </c>
      <c r="C34" s="249" t="s">
        <v>386</v>
      </c>
      <c r="D34" s="250">
        <v>145.22</v>
      </c>
      <c r="E34" s="241">
        <v>43685</v>
      </c>
      <c r="F34" s="582" t="s">
        <v>134</v>
      </c>
      <c r="L34" s="245"/>
      <c r="M34" s="246"/>
      <c r="N34" s="239"/>
      <c r="O34" s="246"/>
      <c r="P34" s="246"/>
      <c r="Q34" s="246"/>
      <c r="R34" s="240"/>
      <c r="S34" s="240"/>
    </row>
    <row r="35" spans="1:19" x14ac:dyDescent="0.25">
      <c r="A35" s="237"/>
      <c r="B35" s="584" t="s">
        <v>1881</v>
      </c>
      <c r="C35" s="249" t="s">
        <v>386</v>
      </c>
      <c r="D35" s="255">
        <v>90.91</v>
      </c>
      <c r="E35" s="241">
        <v>43686</v>
      </c>
      <c r="F35" s="582" t="s">
        <v>134</v>
      </c>
      <c r="L35" s="245"/>
      <c r="M35" s="246"/>
      <c r="N35" s="239"/>
      <c r="O35" s="246"/>
      <c r="P35" s="246"/>
      <c r="Q35" s="246"/>
      <c r="R35" s="240"/>
      <c r="S35" s="240"/>
    </row>
    <row r="36" spans="1:19" x14ac:dyDescent="0.25">
      <c r="A36" s="248"/>
      <c r="B36" s="584"/>
      <c r="C36" s="249"/>
      <c r="D36" s="250">
        <f>SUM(D34:D35)</f>
        <v>236.13</v>
      </c>
      <c r="E36" s="241"/>
      <c r="F36" s="582"/>
      <c r="L36" s="245"/>
      <c r="M36" s="246"/>
      <c r="N36" s="239"/>
      <c r="O36" s="246"/>
      <c r="P36" s="246"/>
      <c r="Q36" s="246"/>
      <c r="R36" s="240"/>
      <c r="S36" s="240"/>
    </row>
    <row r="37" spans="1:19" x14ac:dyDescent="0.25">
      <c r="D37" s="250"/>
      <c r="E37" s="241"/>
      <c r="L37" s="245"/>
      <c r="M37" s="246"/>
      <c r="N37" s="239"/>
      <c r="O37" s="246"/>
      <c r="P37" s="246"/>
      <c r="Q37" s="246"/>
      <c r="R37" s="240"/>
      <c r="S37" s="240"/>
    </row>
    <row r="38" spans="1:19" ht="15.75" thickBot="1" x14ac:dyDescent="0.3">
      <c r="A38" s="237"/>
      <c r="B38" s="582"/>
      <c r="C38" s="293"/>
      <c r="D38" s="250"/>
      <c r="E38" s="241"/>
      <c r="F38" s="582"/>
      <c r="L38" s="245"/>
      <c r="M38" s="246"/>
      <c r="N38" s="239"/>
      <c r="O38" s="246"/>
      <c r="P38" s="246"/>
      <c r="Q38" s="246"/>
      <c r="R38" s="240"/>
      <c r="S38" s="240"/>
    </row>
    <row r="39" spans="1:19" ht="15.75" thickBot="1" x14ac:dyDescent="0.3">
      <c r="B39" s="335"/>
      <c r="C39" s="293"/>
      <c r="D39" s="250"/>
      <c r="E39" s="241"/>
      <c r="F39" s="582"/>
      <c r="L39" s="245"/>
      <c r="M39" s="246"/>
      <c r="N39" s="239"/>
      <c r="O39" s="246"/>
      <c r="P39" s="246"/>
      <c r="Q39" s="246"/>
      <c r="R39" s="240"/>
      <c r="S39" s="240"/>
    </row>
    <row r="40" spans="1:19" x14ac:dyDescent="0.25">
      <c r="D40" s="250"/>
      <c r="E40" s="241"/>
      <c r="L40" s="245"/>
      <c r="M40" s="246"/>
      <c r="N40" s="239"/>
      <c r="O40" s="246"/>
      <c r="P40" s="246"/>
      <c r="Q40" s="246"/>
      <c r="R40" s="240"/>
      <c r="S40" s="240"/>
    </row>
    <row r="41" spans="1:19" x14ac:dyDescent="0.25">
      <c r="D41" s="250"/>
      <c r="E41" s="241"/>
      <c r="L41" s="245"/>
      <c r="M41" s="246"/>
      <c r="N41" s="239"/>
      <c r="O41" s="246"/>
      <c r="P41" s="246"/>
      <c r="Q41" s="246"/>
      <c r="R41" s="240"/>
      <c r="S41" s="240"/>
    </row>
    <row r="42" spans="1:19" x14ac:dyDescent="0.25">
      <c r="D42" s="250"/>
      <c r="E42" s="241"/>
      <c r="L42" s="245"/>
      <c r="M42" s="246"/>
      <c r="N42" s="239"/>
      <c r="O42" s="246"/>
      <c r="P42" s="246"/>
      <c r="Q42" s="246"/>
      <c r="R42" s="240"/>
      <c r="S42" s="240"/>
    </row>
    <row r="43" spans="1:19" x14ac:dyDescent="0.25">
      <c r="D43" s="250"/>
      <c r="E43" s="241"/>
      <c r="L43" s="245"/>
      <c r="M43" s="246"/>
      <c r="N43" s="239"/>
      <c r="O43" s="246"/>
      <c r="P43" s="246"/>
      <c r="Q43" s="246"/>
      <c r="R43" s="240"/>
      <c r="S43" s="240"/>
    </row>
    <row r="44" spans="1:19" ht="15.75" thickBot="1" x14ac:dyDescent="0.3">
      <c r="A44" s="237" t="s">
        <v>1873</v>
      </c>
      <c r="B44" s="237"/>
      <c r="D44" s="260">
        <f>D24+D26+D30+D36</f>
        <v>1807.4900000000002</v>
      </c>
      <c r="E44" s="241"/>
      <c r="L44" s="245"/>
      <c r="M44" s="246"/>
      <c r="N44" s="239"/>
      <c r="O44" s="246"/>
      <c r="P44" s="246"/>
      <c r="Q44" s="246"/>
      <c r="R44" s="240"/>
      <c r="S44" s="240"/>
    </row>
    <row r="45" spans="1:19" ht="15.75" thickTop="1" x14ac:dyDescent="0.25">
      <c r="D45" s="250"/>
      <c r="E45" s="241"/>
      <c r="L45" s="245"/>
      <c r="M45" s="246"/>
      <c r="N45" s="239"/>
      <c r="O45" s="246"/>
      <c r="P45" s="246"/>
      <c r="Q45" s="246"/>
      <c r="R45" s="240"/>
      <c r="S45" s="240"/>
    </row>
    <row r="46" spans="1:19" x14ac:dyDescent="0.25">
      <c r="E46" s="241"/>
      <c r="L46" s="245"/>
      <c r="M46" s="246"/>
      <c r="N46" s="239"/>
      <c r="O46" s="246"/>
      <c r="P46" s="246"/>
      <c r="Q46" s="246"/>
      <c r="R46" s="240"/>
      <c r="S46" s="240"/>
    </row>
    <row r="47" spans="1:19" x14ac:dyDescent="0.25">
      <c r="L47" s="245"/>
      <c r="M47" s="246"/>
      <c r="N47" s="239"/>
      <c r="O47" s="246"/>
      <c r="P47" s="246"/>
      <c r="Q47" s="246"/>
      <c r="R47" s="240"/>
      <c r="S47" s="240"/>
    </row>
    <row r="49" spans="1:19" x14ac:dyDescent="0.25">
      <c r="A49" s="261"/>
      <c r="C49" s="262"/>
      <c r="D49" s="261"/>
    </row>
    <row r="50" spans="1:19" x14ac:dyDescent="0.25">
      <c r="A50" s="233" t="s">
        <v>1874</v>
      </c>
      <c r="C50" s="233" t="s">
        <v>1102</v>
      </c>
      <c r="L50" s="245"/>
      <c r="M50" s="246"/>
      <c r="N50" s="239"/>
      <c r="O50" s="246"/>
      <c r="P50" s="246"/>
      <c r="Q50" s="246"/>
      <c r="R50" s="240"/>
      <c r="S50" s="240"/>
    </row>
    <row r="51" spans="1:19" x14ac:dyDescent="0.25">
      <c r="L51" s="245"/>
      <c r="M51" s="246"/>
      <c r="N51" s="239"/>
      <c r="O51" s="246"/>
      <c r="P51" s="246"/>
      <c r="Q51" s="246"/>
      <c r="R51" s="240"/>
      <c r="S51" s="240"/>
    </row>
    <row r="52" spans="1:19" x14ac:dyDescent="0.25">
      <c r="L52" s="245"/>
      <c r="M52" s="246"/>
      <c r="N52" s="239"/>
      <c r="O52" s="246"/>
      <c r="P52" s="246"/>
      <c r="Q52" s="246"/>
      <c r="R52" s="240"/>
      <c r="S52" s="240"/>
    </row>
    <row r="53" spans="1:19" x14ac:dyDescent="0.25">
      <c r="A53" s="261"/>
      <c r="C53" s="261"/>
      <c r="D53" s="261"/>
      <c r="L53" s="245"/>
      <c r="M53" s="246"/>
      <c r="N53" s="239"/>
      <c r="O53" s="246"/>
      <c r="P53" s="246"/>
      <c r="Q53" s="246"/>
      <c r="R53" s="240"/>
      <c r="S53" s="240"/>
    </row>
    <row r="54" spans="1:19" ht="14.25" customHeight="1" x14ac:dyDescent="0.25">
      <c r="A54" s="233" t="s">
        <v>1875</v>
      </c>
      <c r="C54" s="233" t="s">
        <v>1102</v>
      </c>
      <c r="L54" s="245"/>
      <c r="M54" s="246"/>
      <c r="N54" s="239"/>
      <c r="O54" s="246"/>
      <c r="P54" s="246"/>
      <c r="Q54" s="246"/>
      <c r="R54" s="240"/>
      <c r="S54"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B6B3-CC3A-4DBD-99A2-C3DA4D150B2D}">
  <sheetPr>
    <tabColor theme="9"/>
    <pageSetUpPr fitToPage="1"/>
  </sheetPr>
  <dimension ref="A8:S63"/>
  <sheetViews>
    <sheetView topLeftCell="A25" zoomScaleNormal="100" workbookViewId="0">
      <selection activeCell="D37" sqref="D37:D39"/>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t="s">
        <v>1882</v>
      </c>
      <c r="C15" s="238"/>
      <c r="M15" s="239"/>
      <c r="N15" s="239"/>
    </row>
    <row r="16" spans="1:19" x14ac:dyDescent="0.25">
      <c r="A16" s="237" t="s">
        <v>1851</v>
      </c>
      <c r="B16" s="582" t="s">
        <v>1883</v>
      </c>
      <c r="M16" s="239"/>
      <c r="N16" s="239"/>
      <c r="O16" s="239"/>
      <c r="P16" s="239"/>
      <c r="Q16" s="240"/>
      <c r="R16" s="239"/>
      <c r="S16" s="240"/>
    </row>
    <row r="17" spans="1:19" x14ac:dyDescent="0.25">
      <c r="A17" s="237" t="s">
        <v>1852</v>
      </c>
      <c r="B17" s="582" t="s">
        <v>1884</v>
      </c>
      <c r="C17" s="241"/>
      <c r="F17" s="242"/>
      <c r="M17" s="239"/>
      <c r="N17" s="239"/>
      <c r="O17" s="239"/>
      <c r="P17" s="239"/>
      <c r="Q17" s="240"/>
      <c r="R17" s="239"/>
      <c r="S17" s="240"/>
    </row>
    <row r="18" spans="1:19" x14ac:dyDescent="0.25">
      <c r="A18" s="237"/>
      <c r="B18" s="582" t="s">
        <v>1885</v>
      </c>
      <c r="C18" s="241"/>
      <c r="M18" s="239"/>
      <c r="N18" s="239"/>
      <c r="O18" s="239"/>
      <c r="P18" s="239"/>
      <c r="Q18" s="240"/>
      <c r="R18" s="239"/>
      <c r="S18" s="240"/>
    </row>
    <row r="19" spans="1:19" x14ac:dyDescent="0.25">
      <c r="A19" s="237"/>
      <c r="B19" s="237"/>
      <c r="C19" s="241"/>
      <c r="M19" s="239"/>
      <c r="N19" s="239"/>
      <c r="O19" s="239"/>
      <c r="P19" s="239"/>
      <c r="Q19" s="240"/>
      <c r="R19" s="239"/>
      <c r="S19" s="240"/>
    </row>
    <row r="20" spans="1:19" x14ac:dyDescent="0.25">
      <c r="A20" s="237"/>
      <c r="B20" s="237"/>
      <c r="M20" s="239"/>
      <c r="N20" s="239"/>
      <c r="O20" s="239"/>
      <c r="P20" s="239"/>
      <c r="Q20" s="240"/>
      <c r="R20" s="239"/>
      <c r="S20" s="240"/>
    </row>
    <row r="21" spans="1:19" ht="31.5" x14ac:dyDescent="0.25">
      <c r="A21" s="243" t="s">
        <v>1854</v>
      </c>
      <c r="B21" s="244" t="s">
        <v>1855</v>
      </c>
      <c r="C21" s="244" t="s">
        <v>1856</v>
      </c>
      <c r="D21" s="244" t="s">
        <v>1857</v>
      </c>
      <c r="E21" s="244" t="s">
        <v>1858</v>
      </c>
      <c r="F21" s="244" t="s">
        <v>1480</v>
      </c>
      <c r="L21" s="245"/>
      <c r="M21" s="246"/>
      <c r="N21" s="239"/>
      <c r="O21" s="246"/>
      <c r="P21" s="246"/>
      <c r="Q21" s="246"/>
      <c r="R21" s="240"/>
      <c r="S21" s="240"/>
    </row>
    <row r="22" spans="1:19" x14ac:dyDescent="0.25">
      <c r="A22" s="247" t="s">
        <v>1859</v>
      </c>
      <c r="B22" s="584" t="s">
        <v>1886</v>
      </c>
      <c r="C22" s="249">
        <v>3605</v>
      </c>
      <c r="D22" s="250">
        <f>GETPIVOTDATA("Net",'Orbit Jul-Oct 19'!$A$94,"A/C Code",3605,"Departure Date",DATE(2019,8,25),"Reason for Travel","Attend the Destination Auckalnd Industry Leaders meeting in Auckland and meeting with universities representatives in Christchurch and Dunedin")</f>
        <v>50.36</v>
      </c>
      <c r="E22" s="241">
        <v>43702</v>
      </c>
      <c r="F22" s="585" t="s">
        <v>134</v>
      </c>
      <c r="G22" s="248"/>
      <c r="L22" s="245"/>
      <c r="M22" s="246"/>
      <c r="N22" s="239"/>
      <c r="O22" s="246"/>
      <c r="P22" s="246"/>
      <c r="Q22" s="246"/>
      <c r="R22" s="240"/>
      <c r="S22" s="240"/>
    </row>
    <row r="23" spans="1:19" x14ac:dyDescent="0.25">
      <c r="A23" s="248"/>
      <c r="B23" s="584" t="s">
        <v>1887</v>
      </c>
      <c r="C23" s="249">
        <v>3610</v>
      </c>
      <c r="D23" s="255">
        <f>GETPIVOTDATA("Net",'Orbit Jul-Oct 19'!$A$94,"A/C Code",3610,"Departure Date",DATE(2019,8,25),"Reason for Travel","Attend the Destination Auckalnd Industry Leaders meeting in Auckland and meeting with universities representatives in Christchurch and Dunedin")</f>
        <v>1045.07</v>
      </c>
      <c r="E23" s="241"/>
      <c r="F23" s="585"/>
      <c r="G23" s="248"/>
      <c r="L23" s="245"/>
      <c r="M23" s="246"/>
      <c r="N23" s="239"/>
      <c r="O23" s="246"/>
      <c r="P23" s="246"/>
      <c r="Q23" s="246"/>
      <c r="R23" s="240"/>
      <c r="S23" s="240"/>
    </row>
    <row r="24" spans="1:19" s="248" customFormat="1" x14ac:dyDescent="0.25">
      <c r="A24" s="237"/>
      <c r="C24" s="249"/>
      <c r="D24" s="250">
        <f>SUM(D22:D23)</f>
        <v>1095.4299999999998</v>
      </c>
      <c r="E24" s="256"/>
      <c r="F24" s="233"/>
      <c r="L24" s="251"/>
      <c r="M24" s="252"/>
      <c r="N24" s="253"/>
      <c r="O24" s="252"/>
      <c r="P24" s="252"/>
      <c r="Q24" s="252"/>
      <c r="R24" s="254"/>
      <c r="S24" s="254"/>
    </row>
    <row r="25" spans="1:19" s="248" customFormat="1" x14ac:dyDescent="0.25">
      <c r="A25" s="237"/>
      <c r="C25" s="249"/>
      <c r="D25" s="250"/>
      <c r="E25" s="233"/>
      <c r="F25" s="233"/>
      <c r="G25" s="233"/>
      <c r="L25" s="251"/>
      <c r="M25" s="252"/>
      <c r="N25" s="253"/>
      <c r="O25" s="252"/>
      <c r="P25" s="252"/>
      <c r="Q25" s="252"/>
      <c r="R25" s="254"/>
      <c r="S25" s="254"/>
    </row>
    <row r="26" spans="1:19" ht="30" x14ac:dyDescent="0.25">
      <c r="A26" s="257" t="s">
        <v>1864</v>
      </c>
      <c r="B26" s="586" t="s">
        <v>1888</v>
      </c>
      <c r="C26" s="258" t="s">
        <v>386</v>
      </c>
      <c r="D26" s="259">
        <f>311.3+15.22+36.52</f>
        <v>363.04</v>
      </c>
      <c r="E26" s="241">
        <v>43702</v>
      </c>
      <c r="F26" s="582" t="s">
        <v>134</v>
      </c>
      <c r="L26" s="245"/>
      <c r="M26" s="246"/>
      <c r="N26" s="239"/>
      <c r="O26" s="246"/>
      <c r="P26" s="246"/>
      <c r="Q26" s="246"/>
      <c r="R26" s="240"/>
      <c r="S26" s="240"/>
    </row>
    <row r="27" spans="1:19" ht="30" x14ac:dyDescent="0.25">
      <c r="A27" s="257"/>
      <c r="B27" s="586" t="s">
        <v>1889</v>
      </c>
      <c r="C27" s="258">
        <v>3620</v>
      </c>
      <c r="D27" s="259">
        <f>329.57+7.83+30.87</f>
        <v>368.27</v>
      </c>
      <c r="E27" s="241">
        <v>43704</v>
      </c>
      <c r="F27" s="582" t="s">
        <v>1593</v>
      </c>
      <c r="L27" s="245"/>
      <c r="M27" s="246"/>
      <c r="N27" s="239"/>
      <c r="O27" s="246"/>
      <c r="P27" s="246"/>
      <c r="Q27" s="246"/>
      <c r="R27" s="240"/>
      <c r="S27" s="240"/>
    </row>
    <row r="28" spans="1:19" x14ac:dyDescent="0.25">
      <c r="A28" s="237"/>
      <c r="B28" s="584" t="s">
        <v>1890</v>
      </c>
      <c r="C28" s="249">
        <v>3620</v>
      </c>
      <c r="D28" s="255">
        <v>190.43</v>
      </c>
      <c r="E28" s="241">
        <v>43706</v>
      </c>
      <c r="F28" s="582" t="s">
        <v>134</v>
      </c>
      <c r="L28" s="245"/>
      <c r="M28" s="246"/>
      <c r="N28" s="239"/>
      <c r="O28" s="246"/>
      <c r="P28" s="246"/>
      <c r="Q28" s="246"/>
      <c r="R28" s="240"/>
      <c r="S28" s="240"/>
    </row>
    <row r="29" spans="1:19" x14ac:dyDescent="0.25">
      <c r="A29" s="237"/>
      <c r="B29" s="584"/>
      <c r="C29" s="249"/>
      <c r="D29" s="250">
        <f>SUM(D26:D28)</f>
        <v>921.74</v>
      </c>
      <c r="E29" s="241"/>
      <c r="F29" s="582"/>
      <c r="L29" s="245"/>
      <c r="M29" s="246"/>
      <c r="N29" s="239"/>
      <c r="O29" s="246"/>
      <c r="P29" s="246"/>
      <c r="Q29" s="246"/>
      <c r="R29" s="240"/>
      <c r="S29" s="240"/>
    </row>
    <row r="30" spans="1:19" x14ac:dyDescent="0.25">
      <c r="A30" s="237"/>
      <c r="B30" s="584"/>
      <c r="C30" s="249"/>
      <c r="D30" s="250"/>
      <c r="E30" s="241"/>
      <c r="F30" s="582"/>
      <c r="L30" s="245"/>
      <c r="M30" s="246"/>
      <c r="N30" s="239"/>
      <c r="O30" s="246"/>
      <c r="P30" s="246"/>
      <c r="Q30" s="246"/>
      <c r="R30" s="240"/>
      <c r="S30" s="240"/>
    </row>
    <row r="31" spans="1:19" x14ac:dyDescent="0.25">
      <c r="A31" s="237"/>
      <c r="B31" s="248"/>
      <c r="C31" s="249"/>
      <c r="D31" s="250"/>
      <c r="E31" s="241"/>
      <c r="L31" s="245"/>
      <c r="M31" s="246"/>
      <c r="N31" s="239"/>
      <c r="O31" s="246"/>
      <c r="P31" s="246"/>
      <c r="Q31" s="246"/>
      <c r="R31" s="240"/>
      <c r="S31" s="240"/>
    </row>
    <row r="32" spans="1:19" x14ac:dyDescent="0.25">
      <c r="A32" s="237" t="s">
        <v>399</v>
      </c>
      <c r="B32" s="584" t="s">
        <v>1879</v>
      </c>
      <c r="C32" s="249">
        <v>3630</v>
      </c>
      <c r="D32" s="250">
        <f>'Taxicharge Jul-Sep 19'!J5+'Taxicharge Jul-Sep 19'!J6</f>
        <v>120.72</v>
      </c>
      <c r="E32" s="241">
        <v>43707</v>
      </c>
      <c r="F32" s="582" t="s">
        <v>1891</v>
      </c>
      <c r="L32" s="245"/>
      <c r="M32" s="246"/>
      <c r="N32" s="239"/>
      <c r="O32" s="246"/>
      <c r="P32" s="246"/>
      <c r="Q32" s="246"/>
      <c r="R32" s="240"/>
      <c r="S32" s="240"/>
    </row>
    <row r="33" spans="1:19" x14ac:dyDescent="0.25">
      <c r="A33" s="237"/>
      <c r="B33" s="584" t="s">
        <v>1892</v>
      </c>
      <c r="C33" s="249">
        <v>3630</v>
      </c>
      <c r="D33" s="255">
        <f>'P-Card Jul-Oct 19'!I23</f>
        <v>76.959999999999994</v>
      </c>
      <c r="E33" s="241">
        <v>43706</v>
      </c>
      <c r="F33" s="582" t="s">
        <v>134</v>
      </c>
      <c r="L33" s="245"/>
      <c r="M33" s="246"/>
      <c r="N33" s="239"/>
      <c r="O33" s="246"/>
      <c r="P33" s="246"/>
      <c r="Q33" s="246"/>
      <c r="R33" s="240"/>
      <c r="S33" s="240"/>
    </row>
    <row r="34" spans="1:19" x14ac:dyDescent="0.25">
      <c r="A34" s="237"/>
      <c r="B34" s="584"/>
      <c r="C34" s="249"/>
      <c r="D34" s="250">
        <f>SUM(D32:D33)</f>
        <v>197.68</v>
      </c>
      <c r="E34" s="241"/>
      <c r="F34" s="582"/>
      <c r="L34" s="245"/>
      <c r="M34" s="246"/>
      <c r="N34" s="239"/>
      <c r="O34" s="246"/>
      <c r="P34" s="246"/>
      <c r="Q34" s="246"/>
      <c r="R34" s="240"/>
      <c r="S34" s="240"/>
    </row>
    <row r="35" spans="1:19" x14ac:dyDescent="0.25">
      <c r="A35" s="237"/>
      <c r="B35" s="248"/>
      <c r="C35" s="249"/>
      <c r="D35" s="250"/>
      <c r="E35" s="241"/>
      <c r="L35" s="245"/>
      <c r="M35" s="246"/>
      <c r="N35" s="239"/>
      <c r="O35" s="246"/>
      <c r="P35" s="246"/>
      <c r="Q35" s="246"/>
      <c r="R35" s="240"/>
      <c r="S35" s="240"/>
    </row>
    <row r="36" spans="1:19" x14ac:dyDescent="0.25">
      <c r="A36" s="237"/>
      <c r="B36" s="248"/>
      <c r="C36" s="249"/>
      <c r="D36" s="250"/>
      <c r="E36" s="241"/>
      <c r="L36" s="245"/>
      <c r="M36" s="246"/>
      <c r="N36" s="239"/>
      <c r="O36" s="246"/>
      <c r="P36" s="246"/>
      <c r="Q36" s="246"/>
      <c r="R36" s="240"/>
      <c r="S36" s="240"/>
    </row>
    <row r="37" spans="1:19" x14ac:dyDescent="0.25">
      <c r="A37" s="237" t="s">
        <v>1868</v>
      </c>
      <c r="B37" s="584" t="s">
        <v>1893</v>
      </c>
      <c r="C37" s="249" t="s">
        <v>386</v>
      </c>
      <c r="D37" s="250">
        <v>8.26</v>
      </c>
      <c r="E37" s="241">
        <v>43704</v>
      </c>
      <c r="F37" s="582" t="s">
        <v>1688</v>
      </c>
      <c r="L37" s="245"/>
      <c r="M37" s="246"/>
      <c r="N37" s="239"/>
      <c r="O37" s="246"/>
      <c r="P37" s="246"/>
      <c r="Q37" s="246"/>
      <c r="R37" s="240"/>
      <c r="S37" s="240"/>
    </row>
    <row r="38" spans="1:19" x14ac:dyDescent="0.25">
      <c r="A38" s="237"/>
      <c r="B38" s="584" t="s">
        <v>1894</v>
      </c>
      <c r="C38" s="249" t="s">
        <v>386</v>
      </c>
      <c r="D38" s="250">
        <v>42.43</v>
      </c>
      <c r="E38" s="241">
        <v>43704</v>
      </c>
      <c r="F38" s="582" t="s">
        <v>1688</v>
      </c>
      <c r="L38" s="245"/>
      <c r="M38" s="246"/>
      <c r="N38" s="239"/>
      <c r="O38" s="246"/>
      <c r="P38" s="246"/>
      <c r="Q38" s="246"/>
      <c r="R38" s="240"/>
      <c r="S38" s="240"/>
    </row>
    <row r="39" spans="1:19" x14ac:dyDescent="0.25">
      <c r="A39" s="237"/>
      <c r="B39" s="584" t="s">
        <v>1895</v>
      </c>
      <c r="C39" s="249" t="s">
        <v>386</v>
      </c>
      <c r="D39" s="250">
        <v>9.57</v>
      </c>
      <c r="E39" s="241">
        <v>43704</v>
      </c>
      <c r="F39" s="582" t="s">
        <v>1688</v>
      </c>
      <c r="L39" s="245"/>
      <c r="M39" s="246"/>
      <c r="N39" s="239"/>
      <c r="O39" s="246"/>
      <c r="P39" s="246"/>
      <c r="Q39" s="246"/>
      <c r="R39" s="240"/>
      <c r="S39" s="240"/>
    </row>
    <row r="40" spans="1:19" x14ac:dyDescent="0.25">
      <c r="A40" s="237"/>
      <c r="B40" s="582" t="s">
        <v>1896</v>
      </c>
      <c r="C40" s="233" t="s">
        <v>386</v>
      </c>
      <c r="D40" s="250">
        <v>58.26</v>
      </c>
      <c r="E40" s="241">
        <v>43704</v>
      </c>
      <c r="F40" s="233" t="s">
        <v>1593</v>
      </c>
      <c r="L40" s="245"/>
      <c r="M40" s="246"/>
      <c r="N40" s="239"/>
      <c r="O40" s="246"/>
      <c r="P40" s="246"/>
      <c r="Q40" s="246"/>
      <c r="R40" s="240"/>
      <c r="S40" s="240"/>
    </row>
    <row r="41" spans="1:19" x14ac:dyDescent="0.25">
      <c r="A41" s="237"/>
      <c r="B41" s="584" t="s">
        <v>1896</v>
      </c>
      <c r="C41" s="249" t="s">
        <v>386</v>
      </c>
      <c r="D41" s="250">
        <v>30.43</v>
      </c>
      <c r="E41" s="241">
        <v>43705</v>
      </c>
      <c r="F41" s="582" t="s">
        <v>1593</v>
      </c>
      <c r="L41" s="245"/>
      <c r="M41" s="246"/>
      <c r="N41" s="239"/>
      <c r="O41" s="246"/>
      <c r="P41" s="246"/>
      <c r="Q41" s="246"/>
      <c r="R41" s="240"/>
      <c r="S41" s="240"/>
    </row>
    <row r="42" spans="1:19" x14ac:dyDescent="0.25">
      <c r="A42" s="237"/>
      <c r="B42" s="584" t="s">
        <v>1897</v>
      </c>
      <c r="C42" s="249" t="s">
        <v>386</v>
      </c>
      <c r="D42" s="250">
        <v>17.100000000000001</v>
      </c>
      <c r="E42" s="241">
        <v>43706</v>
      </c>
      <c r="F42" s="582" t="s">
        <v>1593</v>
      </c>
      <c r="L42" s="245"/>
      <c r="M42" s="246"/>
      <c r="N42" s="239"/>
      <c r="O42" s="246"/>
      <c r="P42" s="246"/>
      <c r="Q42" s="246"/>
      <c r="R42" s="240"/>
      <c r="S42" s="240"/>
    </row>
    <row r="43" spans="1:19" x14ac:dyDescent="0.25">
      <c r="A43" s="237"/>
      <c r="B43" s="584" t="s">
        <v>1898</v>
      </c>
      <c r="C43" s="249" t="s">
        <v>386</v>
      </c>
      <c r="D43" s="250">
        <v>50.87</v>
      </c>
      <c r="E43" s="241">
        <v>43706</v>
      </c>
      <c r="F43" s="582" t="s">
        <v>1593</v>
      </c>
      <c r="L43" s="245"/>
      <c r="M43" s="246"/>
      <c r="N43" s="239"/>
      <c r="O43" s="246"/>
      <c r="P43" s="246"/>
      <c r="Q43" s="246"/>
      <c r="R43" s="240"/>
      <c r="S43" s="240"/>
    </row>
    <row r="44" spans="1:19" x14ac:dyDescent="0.25">
      <c r="A44" s="237"/>
      <c r="B44" s="584" t="s">
        <v>1899</v>
      </c>
      <c r="C44" s="249">
        <v>3620</v>
      </c>
      <c r="D44" s="255">
        <v>20</v>
      </c>
      <c r="E44" s="241">
        <v>43707</v>
      </c>
      <c r="F44" s="582" t="s">
        <v>134</v>
      </c>
      <c r="L44" s="245"/>
      <c r="M44" s="246"/>
      <c r="N44" s="239"/>
      <c r="O44" s="246"/>
      <c r="P44" s="246"/>
      <c r="Q44" s="246"/>
      <c r="R44" s="240"/>
      <c r="S44" s="240"/>
    </row>
    <row r="45" spans="1:19" x14ac:dyDescent="0.25">
      <c r="A45" s="248"/>
      <c r="B45" s="584"/>
      <c r="C45" s="249"/>
      <c r="D45" s="250">
        <f>SUM(D37:D44)</f>
        <v>236.92</v>
      </c>
      <c r="E45" s="241"/>
      <c r="F45" s="582"/>
      <c r="L45" s="245"/>
      <c r="M45" s="246"/>
      <c r="N45" s="239"/>
      <c r="O45" s="246"/>
      <c r="P45" s="246"/>
      <c r="Q45" s="246"/>
      <c r="R45" s="240"/>
      <c r="S45" s="240"/>
    </row>
    <row r="46" spans="1:19" x14ac:dyDescent="0.25">
      <c r="D46" s="250"/>
      <c r="E46" s="241"/>
      <c r="L46" s="245"/>
      <c r="M46" s="246"/>
      <c r="N46" s="239"/>
      <c r="O46" s="246"/>
      <c r="P46" s="246"/>
      <c r="Q46" s="246"/>
      <c r="R46" s="240"/>
      <c r="S46" s="240"/>
    </row>
    <row r="47" spans="1:19" x14ac:dyDescent="0.25">
      <c r="A47" s="237" t="s">
        <v>1866</v>
      </c>
      <c r="B47" s="582" t="s">
        <v>1900</v>
      </c>
      <c r="C47" s="293">
        <v>3635</v>
      </c>
      <c r="D47" s="250">
        <f>GETPIVOTDATA("Net",'Orbit Jul-Oct 19'!$A$94,"A/C Code",3635,"Departure Date",DATE(2019,8,25),"Reason for Travel","Attend the Destination Auckalnd Industry Leaders meeting in Auckland and meeting with universities representatives in Christchurch and Dunedin")</f>
        <v>185.21</v>
      </c>
      <c r="E47" s="241">
        <v>43704</v>
      </c>
      <c r="F47" s="582" t="s">
        <v>1688</v>
      </c>
      <c r="L47" s="245"/>
      <c r="M47" s="246"/>
      <c r="N47" s="239"/>
      <c r="O47" s="246"/>
      <c r="P47" s="246"/>
      <c r="Q47" s="246"/>
      <c r="R47" s="240"/>
      <c r="S47" s="240"/>
    </row>
    <row r="48" spans="1:19" x14ac:dyDescent="0.25">
      <c r="B48" s="584" t="s">
        <v>1901</v>
      </c>
      <c r="C48" s="249" t="s">
        <v>386</v>
      </c>
      <c r="D48" s="255">
        <v>22.26</v>
      </c>
      <c r="E48" s="241">
        <v>43704</v>
      </c>
      <c r="F48" s="582" t="s">
        <v>1688</v>
      </c>
      <c r="L48" s="245"/>
      <c r="M48" s="246"/>
      <c r="N48" s="239"/>
      <c r="O48" s="246"/>
      <c r="P48" s="246"/>
      <c r="Q48" s="246"/>
      <c r="R48" s="240"/>
      <c r="S48" s="240"/>
    </row>
    <row r="49" spans="1:19" x14ac:dyDescent="0.25">
      <c r="D49" s="250">
        <f>SUM(D47:D48)</f>
        <v>207.47</v>
      </c>
      <c r="E49" s="241"/>
      <c r="L49" s="245"/>
      <c r="M49" s="246"/>
      <c r="N49" s="239"/>
      <c r="O49" s="246"/>
      <c r="P49" s="246"/>
      <c r="Q49" s="246"/>
      <c r="R49" s="240"/>
      <c r="S49" s="240"/>
    </row>
    <row r="50" spans="1:19" x14ac:dyDescent="0.25">
      <c r="D50" s="250"/>
      <c r="E50" s="241"/>
      <c r="L50" s="245"/>
      <c r="M50" s="246"/>
      <c r="N50" s="239"/>
      <c r="O50" s="246"/>
      <c r="P50" s="246"/>
      <c r="Q50" s="246"/>
      <c r="R50" s="240"/>
      <c r="S50" s="240"/>
    </row>
    <row r="51" spans="1:19" x14ac:dyDescent="0.25">
      <c r="D51" s="250"/>
      <c r="E51" s="241"/>
      <c r="L51" s="245"/>
      <c r="M51" s="246"/>
      <c r="N51" s="239"/>
      <c r="O51" s="246"/>
      <c r="P51" s="246"/>
      <c r="Q51" s="246"/>
      <c r="R51" s="240"/>
      <c r="S51" s="240"/>
    </row>
    <row r="52" spans="1:19" x14ac:dyDescent="0.25">
      <c r="D52" s="250"/>
      <c r="E52" s="241"/>
      <c r="L52" s="245"/>
      <c r="M52" s="246"/>
      <c r="N52" s="239"/>
      <c r="O52" s="246"/>
      <c r="P52" s="246"/>
      <c r="Q52" s="246"/>
      <c r="R52" s="240"/>
      <c r="S52" s="240"/>
    </row>
    <row r="53" spans="1:19" ht="15.75" thickBot="1" x14ac:dyDescent="0.3">
      <c r="A53" s="237" t="s">
        <v>1873</v>
      </c>
      <c r="B53" s="237"/>
      <c r="D53" s="260">
        <f>D24+D29+D34+D45+D49</f>
        <v>2659.24</v>
      </c>
      <c r="E53" s="241"/>
      <c r="L53" s="245"/>
      <c r="M53" s="246"/>
      <c r="N53" s="239"/>
      <c r="O53" s="246"/>
      <c r="P53" s="246"/>
      <c r="Q53" s="246"/>
      <c r="R53" s="240"/>
      <c r="S53" s="240"/>
    </row>
    <row r="54" spans="1:19" ht="15.75" thickTop="1" x14ac:dyDescent="0.25">
      <c r="D54" s="250"/>
      <c r="E54" s="241"/>
      <c r="L54" s="245"/>
      <c r="M54" s="246"/>
      <c r="N54" s="239"/>
      <c r="O54" s="246"/>
      <c r="P54" s="246"/>
      <c r="Q54" s="246"/>
      <c r="R54" s="240"/>
      <c r="S54" s="240"/>
    </row>
    <row r="55" spans="1:19" x14ac:dyDescent="0.25">
      <c r="E55" s="241"/>
      <c r="L55" s="245"/>
      <c r="M55" s="246"/>
      <c r="N55" s="239"/>
      <c r="O55" s="246"/>
      <c r="P55" s="246"/>
      <c r="Q55" s="246"/>
      <c r="R55" s="240"/>
      <c r="S55" s="240"/>
    </row>
    <row r="56" spans="1:19" x14ac:dyDescent="0.25">
      <c r="L56" s="245"/>
      <c r="M56" s="246"/>
      <c r="N56" s="239"/>
      <c r="O56" s="246"/>
      <c r="P56" s="246"/>
      <c r="Q56" s="246"/>
      <c r="R56" s="240"/>
      <c r="S56" s="240"/>
    </row>
    <row r="58" spans="1:19" x14ac:dyDescent="0.25">
      <c r="A58" s="261"/>
      <c r="C58" s="262"/>
      <c r="D58" s="261"/>
    </row>
    <row r="59" spans="1:19" x14ac:dyDescent="0.25">
      <c r="A59" s="233" t="s">
        <v>1874</v>
      </c>
      <c r="C59" s="233" t="s">
        <v>1102</v>
      </c>
      <c r="L59" s="245"/>
      <c r="M59" s="246"/>
      <c r="N59" s="239"/>
      <c r="O59" s="246"/>
      <c r="P59" s="246"/>
      <c r="Q59" s="246"/>
      <c r="R59" s="240"/>
      <c r="S59" s="240"/>
    </row>
    <row r="60" spans="1:19" x14ac:dyDescent="0.25">
      <c r="L60" s="245"/>
      <c r="M60" s="246"/>
      <c r="N60" s="239"/>
      <c r="O60" s="246"/>
      <c r="P60" s="246"/>
      <c r="Q60" s="246"/>
      <c r="R60" s="240"/>
      <c r="S60" s="240"/>
    </row>
    <row r="61" spans="1:19" x14ac:dyDescent="0.25">
      <c r="L61" s="245"/>
      <c r="M61" s="246"/>
      <c r="N61" s="239"/>
      <c r="O61" s="246"/>
      <c r="P61" s="246"/>
      <c r="Q61" s="246"/>
      <c r="R61" s="240"/>
      <c r="S61" s="240"/>
    </row>
    <row r="62" spans="1:19" x14ac:dyDescent="0.25">
      <c r="A62" s="261"/>
      <c r="C62" s="261"/>
      <c r="D62" s="261"/>
      <c r="L62" s="245"/>
      <c r="M62" s="246"/>
      <c r="N62" s="239"/>
      <c r="O62" s="246"/>
      <c r="P62" s="246"/>
      <c r="Q62" s="246"/>
      <c r="R62" s="240"/>
      <c r="S62" s="240"/>
    </row>
    <row r="63" spans="1:19" ht="14.25" customHeight="1" x14ac:dyDescent="0.25">
      <c r="A63" s="233" t="s">
        <v>1875</v>
      </c>
      <c r="C63" s="233" t="s">
        <v>1102</v>
      </c>
      <c r="L63" s="245"/>
      <c r="M63" s="246"/>
      <c r="N63" s="239"/>
      <c r="O63" s="246"/>
      <c r="P63" s="246"/>
      <c r="Q63" s="246"/>
      <c r="R63" s="240"/>
      <c r="S63"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1095-9118-4BC1-8EFD-3968BEB68DAC}">
  <sheetPr>
    <tabColor theme="9"/>
    <pageSetUpPr fitToPage="1"/>
  </sheetPr>
  <dimension ref="A8:S58"/>
  <sheetViews>
    <sheetView topLeftCell="A16" zoomScaleNormal="100" workbookViewId="0">
      <selection activeCell="E42" sqref="E42"/>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1588</v>
      </c>
    </row>
    <row r="15" spans="1:19" x14ac:dyDescent="0.25">
      <c r="A15" s="237" t="s">
        <v>1849</v>
      </c>
      <c r="B15" s="583" t="s">
        <v>1902</v>
      </c>
      <c r="C15" s="238"/>
      <c r="M15" s="239"/>
      <c r="N15" s="239"/>
    </row>
    <row r="16" spans="1:19" x14ac:dyDescent="0.25">
      <c r="A16" s="237" t="s">
        <v>1851</v>
      </c>
      <c r="B16" s="582" t="s">
        <v>1903</v>
      </c>
      <c r="M16" s="239"/>
      <c r="N16" s="239"/>
      <c r="O16" s="239"/>
      <c r="P16" s="239"/>
      <c r="Q16" s="240"/>
      <c r="R16" s="239"/>
      <c r="S16" s="240"/>
    </row>
    <row r="17" spans="1:19" x14ac:dyDescent="0.25">
      <c r="A17" s="237" t="s">
        <v>1852</v>
      </c>
      <c r="B17" s="582" t="s">
        <v>1904</v>
      </c>
      <c r="C17" s="241"/>
      <c r="F17" s="242"/>
      <c r="M17" s="239"/>
      <c r="N17" s="239"/>
      <c r="O17" s="239"/>
      <c r="P17" s="239"/>
      <c r="Q17" s="240"/>
      <c r="R17" s="239"/>
      <c r="S17" s="240"/>
    </row>
    <row r="18" spans="1:19" x14ac:dyDescent="0.25">
      <c r="A18" s="237"/>
      <c r="B18" s="582" t="s">
        <v>1905</v>
      </c>
      <c r="C18" s="241"/>
      <c r="M18" s="239"/>
      <c r="N18" s="239"/>
      <c r="O18" s="239"/>
      <c r="P18" s="239"/>
      <c r="Q18" s="240"/>
      <c r="R18" s="239"/>
      <c r="S18" s="240"/>
    </row>
    <row r="19" spans="1:19" x14ac:dyDescent="0.25">
      <c r="A19" s="237"/>
      <c r="B19" s="582" t="s">
        <v>1906</v>
      </c>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x14ac:dyDescent="0.25">
      <c r="A23" s="247" t="s">
        <v>1859</v>
      </c>
      <c r="B23" s="584" t="s">
        <v>1886</v>
      </c>
      <c r="C23" s="249">
        <v>3605</v>
      </c>
      <c r="D23" s="250">
        <f>GETPIVOTDATA("Net",'Orbit Jul-Oct 19'!$A$94,"A/C Code",3605,"Departure Date",DATE(2019,9,16),"Reason for Travel","Meetings")</f>
        <v>348.35</v>
      </c>
      <c r="E23" s="241">
        <v>43724</v>
      </c>
      <c r="F23" s="585" t="s">
        <v>1907</v>
      </c>
      <c r="G23" s="248"/>
      <c r="L23" s="245"/>
      <c r="M23" s="246"/>
      <c r="N23" s="239"/>
      <c r="O23" s="246"/>
      <c r="P23" s="246"/>
      <c r="Q23" s="246"/>
      <c r="R23" s="240"/>
      <c r="S23" s="240"/>
    </row>
    <row r="24" spans="1:19" x14ac:dyDescent="0.25">
      <c r="A24" s="248"/>
      <c r="B24" s="584" t="s">
        <v>1887</v>
      </c>
      <c r="C24" s="249">
        <v>3705</v>
      </c>
      <c r="D24" s="255">
        <f>GETPIVOTDATA("Net",'Orbit Jul-Oct 19'!$A$94,"A/C Code",3705,"Departure Date",DATE(2019,9,16),"Reason for Travel","Meetings")</f>
        <v>19508.63</v>
      </c>
      <c r="E24" s="241"/>
      <c r="F24" s="585"/>
      <c r="G24" s="248"/>
      <c r="L24" s="245"/>
      <c r="M24" s="246"/>
      <c r="N24" s="239"/>
      <c r="O24" s="246"/>
      <c r="P24" s="246"/>
      <c r="Q24" s="246"/>
      <c r="R24" s="240"/>
      <c r="S24" s="240"/>
    </row>
    <row r="25" spans="1:19" s="248" customFormat="1" x14ac:dyDescent="0.25">
      <c r="A25" s="237"/>
      <c r="C25" s="249"/>
      <c r="D25" s="250">
        <f>SUM(D23:D24)</f>
        <v>19856.98</v>
      </c>
      <c r="E25" s="256"/>
      <c r="F25" s="233"/>
      <c r="L25" s="251"/>
      <c r="M25" s="252"/>
      <c r="N25" s="253"/>
      <c r="O25" s="252"/>
      <c r="P25" s="252"/>
      <c r="Q25" s="252"/>
      <c r="R25" s="254"/>
      <c r="S25" s="254"/>
    </row>
    <row r="26" spans="1:19" s="248" customFormat="1" x14ac:dyDescent="0.25">
      <c r="A26" s="237"/>
      <c r="C26" s="249"/>
      <c r="D26" s="250"/>
      <c r="E26" s="233"/>
      <c r="F26" s="233"/>
      <c r="G26" s="233"/>
      <c r="L26" s="251"/>
      <c r="M26" s="252"/>
      <c r="N26" s="253"/>
      <c r="O26" s="252"/>
      <c r="P26" s="252"/>
      <c r="Q26" s="252"/>
      <c r="R26" s="254"/>
      <c r="S26" s="254"/>
    </row>
    <row r="27" spans="1:19" x14ac:dyDescent="0.25">
      <c r="A27" s="257" t="s">
        <v>1864</v>
      </c>
      <c r="B27" s="586" t="s">
        <v>1908</v>
      </c>
      <c r="C27" s="258">
        <v>3710</v>
      </c>
      <c r="D27" s="259">
        <f>'P-Card Jul-Oct 19'!I29</f>
        <v>1409.67</v>
      </c>
      <c r="E27" s="241">
        <v>43724</v>
      </c>
      <c r="F27" s="582" t="s">
        <v>1909</v>
      </c>
      <c r="L27" s="245"/>
      <c r="M27" s="246"/>
      <c r="N27" s="239"/>
      <c r="O27" s="246"/>
      <c r="P27" s="246"/>
      <c r="Q27" s="246"/>
      <c r="R27" s="240"/>
      <c r="S27" s="240"/>
    </row>
    <row r="28" spans="1:19" x14ac:dyDescent="0.25">
      <c r="A28" s="257"/>
      <c r="B28" s="586" t="s">
        <v>1910</v>
      </c>
      <c r="C28" s="258">
        <v>3710</v>
      </c>
      <c r="D28" s="259">
        <f>'P-Card Jul-Oct 19'!I30</f>
        <v>1979.1</v>
      </c>
      <c r="E28" s="241">
        <v>43727</v>
      </c>
      <c r="F28" s="582" t="s">
        <v>1911</v>
      </c>
      <c r="L28" s="245"/>
      <c r="M28" s="246"/>
      <c r="N28" s="239"/>
      <c r="O28" s="246"/>
      <c r="P28" s="246"/>
      <c r="Q28" s="246"/>
      <c r="R28" s="240"/>
      <c r="S28" s="240"/>
    </row>
    <row r="29" spans="1:19" x14ac:dyDescent="0.25">
      <c r="A29" s="257"/>
      <c r="B29" s="584" t="s">
        <v>1912</v>
      </c>
      <c r="C29" s="249">
        <v>3710</v>
      </c>
      <c r="D29" s="587">
        <f>755.81+90.13+39</f>
        <v>884.93999999999994</v>
      </c>
      <c r="E29" s="241">
        <v>43730</v>
      </c>
      <c r="F29" s="582" t="s">
        <v>1913</v>
      </c>
      <c r="L29" s="245"/>
      <c r="M29" s="246"/>
      <c r="N29" s="239"/>
      <c r="O29" s="246"/>
      <c r="P29" s="246"/>
      <c r="Q29" s="246"/>
      <c r="R29" s="240"/>
      <c r="S29" s="240"/>
    </row>
    <row r="30" spans="1:19" x14ac:dyDescent="0.25">
      <c r="A30" s="257"/>
      <c r="B30" s="586" t="s">
        <v>1914</v>
      </c>
      <c r="C30" s="258">
        <v>3710</v>
      </c>
      <c r="D30" s="371">
        <f>751.12+90.69</f>
        <v>841.81</v>
      </c>
      <c r="E30" s="241">
        <v>43732</v>
      </c>
      <c r="F30" s="582" t="s">
        <v>1915</v>
      </c>
      <c r="L30" s="245"/>
      <c r="M30" s="246"/>
      <c r="N30" s="239"/>
      <c r="O30" s="246"/>
      <c r="P30" s="246"/>
      <c r="Q30" s="246"/>
      <c r="R30" s="240"/>
      <c r="S30" s="240"/>
    </row>
    <row r="31" spans="1:19" x14ac:dyDescent="0.25">
      <c r="A31" s="237"/>
      <c r="B31" s="584"/>
      <c r="C31" s="249"/>
      <c r="D31" s="250">
        <f>SUM(D27:D30)</f>
        <v>5115.5200000000004</v>
      </c>
      <c r="E31" s="241"/>
      <c r="F31" s="582"/>
      <c r="L31" s="245"/>
      <c r="M31" s="246"/>
      <c r="N31" s="239"/>
      <c r="O31" s="246"/>
      <c r="P31" s="246"/>
      <c r="Q31" s="246"/>
      <c r="R31" s="240"/>
      <c r="S31" s="240"/>
    </row>
    <row r="32" spans="1:19" x14ac:dyDescent="0.25">
      <c r="A32" s="237"/>
      <c r="B32" s="584"/>
      <c r="C32" s="249"/>
      <c r="D32" s="250"/>
      <c r="E32" s="241"/>
      <c r="F32" s="582"/>
      <c r="L32" s="245"/>
      <c r="M32" s="246"/>
      <c r="N32" s="239"/>
      <c r="O32" s="246"/>
      <c r="P32" s="246"/>
      <c r="Q32" s="246"/>
      <c r="R32" s="240"/>
      <c r="S32" s="240"/>
    </row>
    <row r="33" spans="1:19" x14ac:dyDescent="0.25">
      <c r="A33" s="237"/>
      <c r="B33" s="248"/>
      <c r="C33" s="249"/>
      <c r="D33" s="250"/>
      <c r="E33" s="241"/>
      <c r="L33" s="245"/>
      <c r="M33" s="246"/>
      <c r="N33" s="239"/>
      <c r="O33" s="246"/>
      <c r="P33" s="246"/>
      <c r="Q33" s="246"/>
      <c r="R33" s="240"/>
      <c r="S33" s="240"/>
    </row>
    <row r="34" spans="1:19" x14ac:dyDescent="0.25">
      <c r="A34" s="237" t="s">
        <v>399</v>
      </c>
      <c r="B34" s="584" t="s">
        <v>1916</v>
      </c>
      <c r="C34" s="249">
        <v>3630</v>
      </c>
      <c r="D34" s="250">
        <f>'Taxicharge Jul-Sep 19'!J7</f>
        <v>35.1</v>
      </c>
      <c r="E34" s="241">
        <v>43724</v>
      </c>
      <c r="F34" s="582" t="s">
        <v>214</v>
      </c>
      <c r="L34" s="245"/>
      <c r="M34" s="246"/>
      <c r="N34" s="239"/>
      <c r="O34" s="246"/>
      <c r="P34" s="246"/>
      <c r="Q34" s="246"/>
      <c r="R34" s="240"/>
      <c r="S34" s="240"/>
    </row>
    <row r="35" spans="1:19" x14ac:dyDescent="0.25">
      <c r="A35" s="237"/>
      <c r="B35" s="248"/>
      <c r="C35" s="249"/>
      <c r="D35" s="250"/>
      <c r="E35" s="241"/>
      <c r="L35" s="245"/>
      <c r="M35" s="246"/>
      <c r="N35" s="239"/>
      <c r="O35" s="246"/>
      <c r="P35" s="246"/>
      <c r="Q35" s="246"/>
      <c r="R35" s="240"/>
      <c r="S35" s="240"/>
    </row>
    <row r="36" spans="1:19" x14ac:dyDescent="0.25">
      <c r="A36" s="237"/>
      <c r="B36" s="248"/>
      <c r="C36" s="249"/>
      <c r="D36" s="250"/>
      <c r="E36" s="241"/>
      <c r="L36" s="245"/>
      <c r="M36" s="246"/>
      <c r="N36" s="239"/>
      <c r="O36" s="246"/>
      <c r="P36" s="246"/>
      <c r="Q36" s="246"/>
      <c r="R36" s="240"/>
      <c r="S36" s="240"/>
    </row>
    <row r="37" spans="1:19" x14ac:dyDescent="0.25">
      <c r="A37" s="237" t="s">
        <v>1868</v>
      </c>
      <c r="B37" s="584" t="s">
        <v>1917</v>
      </c>
      <c r="C37" s="249">
        <v>3710</v>
      </c>
      <c r="D37" s="250">
        <v>23.58</v>
      </c>
      <c r="E37" s="241">
        <v>43725</v>
      </c>
      <c r="F37" s="582" t="s">
        <v>1909</v>
      </c>
      <c r="L37" s="245"/>
      <c r="M37" s="246"/>
      <c r="N37" s="239"/>
      <c r="O37" s="246"/>
      <c r="P37" s="246"/>
      <c r="Q37" s="246"/>
      <c r="R37" s="240"/>
      <c r="S37" s="240"/>
    </row>
    <row r="38" spans="1:19" x14ac:dyDescent="0.25">
      <c r="A38" s="237"/>
      <c r="B38" s="584" t="s">
        <v>1918</v>
      </c>
      <c r="C38" s="249">
        <v>3710</v>
      </c>
      <c r="D38" s="255">
        <v>224.99</v>
      </c>
      <c r="E38" s="588" t="s">
        <v>1919</v>
      </c>
      <c r="F38" s="582" t="s">
        <v>1915</v>
      </c>
      <c r="L38" s="245"/>
      <c r="M38" s="246"/>
      <c r="N38" s="239"/>
      <c r="O38" s="246"/>
      <c r="P38" s="246"/>
      <c r="Q38" s="246"/>
      <c r="R38" s="240"/>
      <c r="S38" s="240"/>
    </row>
    <row r="39" spans="1:19" x14ac:dyDescent="0.25">
      <c r="A39" s="237"/>
      <c r="B39" s="584"/>
      <c r="C39" s="249"/>
      <c r="D39" s="250">
        <f>SUM(D37:D38)</f>
        <v>248.57</v>
      </c>
      <c r="E39" s="588"/>
      <c r="F39" s="582"/>
      <c r="L39" s="245"/>
      <c r="M39" s="246"/>
      <c r="N39" s="239"/>
      <c r="O39" s="246"/>
      <c r="P39" s="246"/>
      <c r="Q39" s="246"/>
      <c r="R39" s="240"/>
      <c r="S39" s="240"/>
    </row>
    <row r="40" spans="1:19" x14ac:dyDescent="0.25">
      <c r="A40" s="237"/>
      <c r="B40" s="584"/>
      <c r="C40" s="249"/>
      <c r="D40" s="250"/>
      <c r="E40" s="241"/>
      <c r="F40" s="582"/>
      <c r="L40" s="245"/>
      <c r="M40" s="246"/>
      <c r="N40" s="239"/>
      <c r="O40" s="246"/>
      <c r="P40" s="246"/>
      <c r="Q40" s="246"/>
      <c r="R40" s="240"/>
      <c r="S40" s="240"/>
    </row>
    <row r="41" spans="1:19" x14ac:dyDescent="0.25">
      <c r="A41" s="237"/>
      <c r="B41" s="582"/>
      <c r="D41" s="250"/>
      <c r="E41" s="241"/>
      <c r="L41" s="245"/>
      <c r="M41" s="246"/>
      <c r="N41" s="239"/>
      <c r="O41" s="246"/>
      <c r="P41" s="246"/>
      <c r="Q41" s="246"/>
      <c r="R41" s="240"/>
      <c r="S41" s="240"/>
    </row>
    <row r="42" spans="1:19" x14ac:dyDescent="0.25">
      <c r="A42" s="237" t="s">
        <v>1920</v>
      </c>
      <c r="B42" s="584" t="s">
        <v>1921</v>
      </c>
      <c r="C42" s="249">
        <v>3710</v>
      </c>
      <c r="D42" s="250">
        <f>'P-Card Jul-Oct 19'!I31</f>
        <v>34.659999999999997</v>
      </c>
      <c r="E42" s="241">
        <v>43732</v>
      </c>
      <c r="F42" s="582" t="s">
        <v>1913</v>
      </c>
      <c r="L42" s="245"/>
      <c r="M42" s="246"/>
      <c r="N42" s="239"/>
      <c r="O42" s="246"/>
      <c r="P42" s="246"/>
      <c r="Q42" s="246"/>
      <c r="R42" s="240"/>
      <c r="S42" s="240"/>
    </row>
    <row r="43" spans="1:19" x14ac:dyDescent="0.25">
      <c r="A43" s="237"/>
      <c r="B43" s="584" t="s">
        <v>1922</v>
      </c>
      <c r="C43" s="249">
        <v>3710</v>
      </c>
      <c r="D43" s="250">
        <f>'P-Card Jul-Oct 19'!I14+'P-Card Jul-Oct 19'!I15+'Accredo GL Jul-Oct 19'!I277</f>
        <v>301.19</v>
      </c>
      <c r="E43" s="241">
        <v>43717</v>
      </c>
      <c r="F43" s="582" t="s">
        <v>1716</v>
      </c>
      <c r="L43" s="245"/>
      <c r="M43" s="246"/>
      <c r="N43" s="239"/>
      <c r="O43" s="246"/>
      <c r="P43" s="246"/>
      <c r="Q43" s="246"/>
      <c r="R43" s="240"/>
      <c r="S43" s="240"/>
    </row>
    <row r="44" spans="1:19" x14ac:dyDescent="0.25">
      <c r="D44" s="250"/>
      <c r="E44" s="241"/>
      <c r="L44" s="245"/>
      <c r="M44" s="246"/>
      <c r="N44" s="239"/>
      <c r="O44" s="246"/>
      <c r="P44" s="246"/>
      <c r="Q44" s="246"/>
      <c r="R44" s="240"/>
      <c r="S44" s="240"/>
    </row>
    <row r="45" spans="1:19" x14ac:dyDescent="0.25">
      <c r="A45" s="372" t="s">
        <v>1923</v>
      </c>
      <c r="B45" s="589" t="s">
        <v>1924</v>
      </c>
      <c r="C45" s="373">
        <v>3710</v>
      </c>
      <c r="D45" s="374">
        <v>558.16999999999996</v>
      </c>
      <c r="E45" s="375">
        <v>43727</v>
      </c>
      <c r="F45" s="589" t="s">
        <v>1911</v>
      </c>
      <c r="G45" s="589" t="s">
        <v>1925</v>
      </c>
      <c r="L45" s="245"/>
      <c r="M45" s="246"/>
      <c r="N45" s="239"/>
      <c r="O45" s="246"/>
      <c r="P45" s="246"/>
      <c r="Q45" s="246"/>
      <c r="R45" s="240"/>
      <c r="S45" s="240"/>
    </row>
    <row r="46" spans="1:19" x14ac:dyDescent="0.25">
      <c r="D46" s="250"/>
      <c r="E46" s="241"/>
      <c r="L46" s="245"/>
      <c r="M46" s="246"/>
      <c r="N46" s="239"/>
      <c r="O46" s="246"/>
      <c r="P46" s="246"/>
      <c r="Q46" s="246"/>
      <c r="R46" s="240"/>
      <c r="S46" s="240"/>
    </row>
    <row r="47" spans="1:19" x14ac:dyDescent="0.25">
      <c r="D47" s="250"/>
      <c r="E47" s="241"/>
      <c r="L47" s="245"/>
      <c r="M47" s="246"/>
      <c r="N47" s="239"/>
      <c r="O47" s="246"/>
      <c r="P47" s="246"/>
      <c r="Q47" s="246"/>
      <c r="R47" s="240"/>
      <c r="S47" s="240"/>
    </row>
    <row r="48" spans="1:19" ht="15.75" thickBot="1" x14ac:dyDescent="0.3">
      <c r="A48" s="237" t="s">
        <v>1873</v>
      </c>
      <c r="B48" s="237"/>
      <c r="D48" s="260">
        <f>D25+D31+D34+D39+D42+D43+D45</f>
        <v>26150.189999999995</v>
      </c>
      <c r="E48" s="241"/>
      <c r="L48" s="245"/>
      <c r="M48" s="246"/>
      <c r="N48" s="239"/>
      <c r="O48" s="246"/>
      <c r="P48" s="246"/>
      <c r="Q48" s="246"/>
      <c r="R48" s="240"/>
      <c r="S48" s="240"/>
    </row>
    <row r="49" spans="1:19" ht="15.75" thickTop="1" x14ac:dyDescent="0.25">
      <c r="D49" s="250"/>
      <c r="E49" s="241"/>
      <c r="L49" s="245"/>
      <c r="M49" s="246"/>
      <c r="N49" s="239"/>
      <c r="O49" s="246"/>
      <c r="P49" s="246"/>
      <c r="Q49" s="246"/>
      <c r="R49" s="240"/>
      <c r="S49" s="240"/>
    </row>
    <row r="50" spans="1:19" x14ac:dyDescent="0.25">
      <c r="E50" s="241"/>
      <c r="L50" s="245"/>
      <c r="M50" s="246"/>
      <c r="N50" s="239"/>
      <c r="O50" s="246"/>
      <c r="P50" s="246"/>
      <c r="Q50" s="246"/>
      <c r="R50" s="240"/>
      <c r="S50" s="240"/>
    </row>
    <row r="51" spans="1:19" x14ac:dyDescent="0.25">
      <c r="L51" s="245"/>
      <c r="M51" s="246"/>
      <c r="N51" s="239"/>
      <c r="O51" s="246"/>
      <c r="P51" s="246"/>
      <c r="Q51" s="246"/>
      <c r="R51" s="240"/>
      <c r="S51" s="240"/>
    </row>
    <row r="53" spans="1:19" x14ac:dyDescent="0.25">
      <c r="A53" s="261"/>
      <c r="C53" s="262"/>
      <c r="D53" s="261"/>
    </row>
    <row r="54" spans="1:19" x14ac:dyDescent="0.25">
      <c r="A54" s="233" t="s">
        <v>1874</v>
      </c>
      <c r="C54" s="233" t="s">
        <v>1102</v>
      </c>
      <c r="L54" s="245"/>
      <c r="M54" s="246"/>
      <c r="N54" s="239"/>
      <c r="O54" s="246"/>
      <c r="P54" s="246"/>
      <c r="Q54" s="246"/>
      <c r="R54" s="240"/>
      <c r="S54" s="240"/>
    </row>
    <row r="55" spans="1:19" x14ac:dyDescent="0.25">
      <c r="L55" s="245"/>
      <c r="M55" s="246"/>
      <c r="N55" s="239"/>
      <c r="O55" s="246"/>
      <c r="P55" s="246"/>
      <c r="Q55" s="246"/>
      <c r="R55" s="240"/>
      <c r="S55" s="240"/>
    </row>
    <row r="56" spans="1:19" x14ac:dyDescent="0.25">
      <c r="L56" s="245"/>
      <c r="M56" s="246"/>
      <c r="N56" s="239"/>
      <c r="O56" s="246"/>
      <c r="P56" s="246"/>
      <c r="Q56" s="246"/>
      <c r="R56" s="240"/>
      <c r="S56" s="240"/>
    </row>
    <row r="57" spans="1:19" x14ac:dyDescent="0.25">
      <c r="A57" s="261"/>
      <c r="C57" s="261"/>
      <c r="D57" s="261"/>
      <c r="L57" s="245"/>
      <c r="M57" s="246"/>
      <c r="N57" s="239"/>
      <c r="O57" s="246"/>
      <c r="P57" s="246"/>
      <c r="Q57" s="246"/>
      <c r="R57" s="240"/>
      <c r="S57" s="240"/>
    </row>
    <row r="58" spans="1:19" ht="14.25" customHeight="1" x14ac:dyDescent="0.25">
      <c r="A58" s="233" t="s">
        <v>1875</v>
      </c>
      <c r="C58" s="233" t="s">
        <v>1102</v>
      </c>
      <c r="L58" s="245"/>
      <c r="M58" s="246"/>
      <c r="N58" s="239"/>
      <c r="O58" s="246"/>
      <c r="P58" s="246"/>
      <c r="Q58" s="246"/>
      <c r="R58" s="240"/>
      <c r="S58" s="240"/>
    </row>
  </sheetData>
  <mergeCells count="1">
    <mergeCell ref="A10:C10"/>
  </mergeCells>
  <pageMargins left="0.51" right="0.47" top="0.39370078740157483" bottom="0.74803149606299213" header="0.31496062992125984" footer="0.31496062992125984"/>
  <pageSetup paperSize="9" scale="62" orientation="portrait" r:id="rId1"/>
  <headerFooter>
    <oddFooter>&amp;L&amp;8&amp;Z&amp;F&amp;A&amp;R&amp;8&amp;D&amp;T</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4F62-9B86-4BE6-84FC-A8E1EDD80371}">
  <sheetPr>
    <tabColor theme="7"/>
  </sheetPr>
  <dimension ref="A1:J44"/>
  <sheetViews>
    <sheetView workbookViewId="0">
      <selection activeCell="Q31" sqref="Q31"/>
    </sheetView>
  </sheetViews>
  <sheetFormatPr defaultRowHeight="12.75" x14ac:dyDescent="0.2"/>
  <sheetData>
    <row r="1" spans="1:10" ht="18" x14ac:dyDescent="0.25">
      <c r="A1" s="209" t="s">
        <v>1489</v>
      </c>
      <c r="B1" s="209"/>
      <c r="C1" s="209"/>
      <c r="D1" s="212" t="s">
        <v>1490</v>
      </c>
      <c r="E1" s="212"/>
      <c r="F1" s="875" t="s">
        <v>1491</v>
      </c>
      <c r="G1" s="875"/>
      <c r="H1" s="218"/>
      <c r="I1" s="218"/>
      <c r="J1" s="218"/>
    </row>
    <row r="2" spans="1:10" ht="18" x14ac:dyDescent="0.25">
      <c r="A2" s="210"/>
      <c r="B2" s="210"/>
      <c r="C2" s="210"/>
      <c r="D2" s="212" t="s">
        <v>1492</v>
      </c>
      <c r="E2" s="212"/>
      <c r="F2" s="876">
        <v>43940</v>
      </c>
      <c r="G2" s="876"/>
      <c r="H2" s="218"/>
      <c r="I2" s="218"/>
      <c r="J2" s="218"/>
    </row>
    <row r="3" spans="1:10" x14ac:dyDescent="0.2">
      <c r="A3" s="206"/>
      <c r="B3" s="206"/>
      <c r="C3" s="206"/>
      <c r="D3" s="213"/>
      <c r="E3" s="213"/>
      <c r="F3" s="213"/>
      <c r="G3" s="214"/>
      <c r="H3" s="214"/>
      <c r="I3" s="214"/>
      <c r="J3" s="214"/>
    </row>
    <row r="4" spans="1:10" x14ac:dyDescent="0.2">
      <c r="A4" s="206"/>
      <c r="B4" s="206"/>
      <c r="C4" s="206"/>
      <c r="D4" s="215" t="s">
        <v>1493</v>
      </c>
      <c r="E4" s="215" t="s">
        <v>1494</v>
      </c>
      <c r="F4" s="215" t="s">
        <v>1495</v>
      </c>
      <c r="G4" s="214"/>
      <c r="H4" s="214"/>
      <c r="I4" s="214"/>
      <c r="J4" s="214"/>
    </row>
    <row r="5" spans="1:10" x14ac:dyDescent="0.2">
      <c r="A5" s="211" t="s">
        <v>1496</v>
      </c>
      <c r="B5" s="211" t="s">
        <v>1497</v>
      </c>
      <c r="C5" s="211" t="s">
        <v>1498</v>
      </c>
      <c r="D5" s="216" t="s">
        <v>1499</v>
      </c>
      <c r="E5" s="216" t="s">
        <v>1499</v>
      </c>
      <c r="F5" s="216">
        <v>3925</v>
      </c>
      <c r="G5" s="217" t="s">
        <v>1500</v>
      </c>
      <c r="H5" s="219"/>
      <c r="I5" s="220"/>
      <c r="J5" s="221" t="s">
        <v>1501</v>
      </c>
    </row>
    <row r="6" spans="1:10" x14ac:dyDescent="0.2">
      <c r="A6" s="222" t="s">
        <v>1502</v>
      </c>
      <c r="B6" s="223" t="s">
        <v>55</v>
      </c>
      <c r="C6" s="442">
        <v>100</v>
      </c>
      <c r="D6" s="225">
        <v>22</v>
      </c>
      <c r="E6" s="226">
        <v>6.6099999999999994</v>
      </c>
      <c r="F6" s="227"/>
      <c r="G6" s="228">
        <v>28.61</v>
      </c>
      <c r="H6" s="214"/>
      <c r="I6" s="229">
        <v>400</v>
      </c>
      <c r="J6" s="230">
        <v>142.69</v>
      </c>
    </row>
    <row r="7" spans="1:10" x14ac:dyDescent="0.2">
      <c r="A7" s="222" t="s">
        <v>1503</v>
      </c>
      <c r="B7" s="223" t="s">
        <v>1504</v>
      </c>
      <c r="C7" s="442">
        <v>100</v>
      </c>
      <c r="D7" s="225"/>
      <c r="E7" s="226">
        <v>0.85</v>
      </c>
      <c r="F7" s="227"/>
      <c r="G7" s="228">
        <v>0.85</v>
      </c>
      <c r="H7" s="214"/>
      <c r="I7" s="229">
        <v>420</v>
      </c>
      <c r="J7" s="230">
        <v>0</v>
      </c>
    </row>
    <row r="12" spans="1:10" x14ac:dyDescent="0.2">
      <c r="A12" s="22" t="s">
        <v>1926</v>
      </c>
      <c r="G12" s="351">
        <f>SUM(G6:G7)</f>
        <v>29.46</v>
      </c>
    </row>
    <row r="17" spans="1:10" ht="18" x14ac:dyDescent="0.25">
      <c r="A17" s="209" t="s">
        <v>1489</v>
      </c>
      <c r="B17" s="209"/>
      <c r="C17" s="209"/>
      <c r="D17" s="212" t="s">
        <v>1490</v>
      </c>
      <c r="E17" s="212"/>
      <c r="F17" s="875" t="s">
        <v>1491</v>
      </c>
      <c r="G17" s="875"/>
      <c r="H17" s="218"/>
      <c r="I17" s="218"/>
      <c r="J17" s="218"/>
    </row>
    <row r="18" spans="1:10" ht="18" x14ac:dyDescent="0.25">
      <c r="A18" s="210"/>
      <c r="B18" s="210"/>
      <c r="C18" s="210"/>
      <c r="D18" s="212" t="s">
        <v>1492</v>
      </c>
      <c r="E18" s="212"/>
      <c r="F18" s="876">
        <v>43970</v>
      </c>
      <c r="G18" s="876"/>
      <c r="H18" s="218"/>
      <c r="I18" s="218"/>
      <c r="J18" s="218"/>
    </row>
    <row r="19" spans="1:10" x14ac:dyDescent="0.2">
      <c r="A19" s="206"/>
      <c r="B19" s="206"/>
      <c r="C19" s="206"/>
      <c r="D19" s="213"/>
      <c r="E19" s="213"/>
      <c r="F19" s="213"/>
      <c r="G19" s="214"/>
      <c r="H19" s="214"/>
      <c r="I19" s="214"/>
      <c r="J19" s="214"/>
    </row>
    <row r="20" spans="1:10" x14ac:dyDescent="0.2">
      <c r="A20" s="206"/>
      <c r="B20" s="206"/>
      <c r="C20" s="206"/>
      <c r="D20" s="215" t="s">
        <v>1493</v>
      </c>
      <c r="E20" s="215" t="s">
        <v>1494</v>
      </c>
      <c r="F20" s="215" t="s">
        <v>1495</v>
      </c>
      <c r="G20" s="214"/>
      <c r="H20" s="214"/>
      <c r="I20" s="214"/>
      <c r="J20" s="214"/>
    </row>
    <row r="21" spans="1:10" x14ac:dyDescent="0.2">
      <c r="A21" s="211" t="s">
        <v>1496</v>
      </c>
      <c r="B21" s="211" t="s">
        <v>1497</v>
      </c>
      <c r="C21" s="211" t="s">
        <v>1498</v>
      </c>
      <c r="D21" s="216" t="s">
        <v>1499</v>
      </c>
      <c r="E21" s="216" t="s">
        <v>1499</v>
      </c>
      <c r="F21" s="216">
        <v>3925</v>
      </c>
      <c r="G21" s="217" t="s">
        <v>1500</v>
      </c>
      <c r="H21" s="219"/>
      <c r="I21" s="220"/>
      <c r="J21" s="221" t="s">
        <v>1501</v>
      </c>
    </row>
    <row r="22" spans="1:10" x14ac:dyDescent="0.2">
      <c r="A22" s="222" t="s">
        <v>1502</v>
      </c>
      <c r="B22" s="223" t="s">
        <v>55</v>
      </c>
      <c r="C22" s="442">
        <v>100</v>
      </c>
      <c r="D22" s="225">
        <v>22</v>
      </c>
      <c r="E22" s="226">
        <v>19.060000000000002</v>
      </c>
      <c r="F22" s="227"/>
      <c r="G22" s="228">
        <v>41.06</v>
      </c>
      <c r="H22" s="214"/>
      <c r="I22" s="229">
        <v>400</v>
      </c>
      <c r="J22" s="230">
        <v>137.1</v>
      </c>
    </row>
    <row r="23" spans="1:10" x14ac:dyDescent="0.2">
      <c r="A23" s="222" t="s">
        <v>1503</v>
      </c>
      <c r="B23" s="223" t="s">
        <v>1504</v>
      </c>
      <c r="C23" s="442">
        <v>100</v>
      </c>
      <c r="D23" s="225"/>
      <c r="E23" s="226">
        <v>0.85</v>
      </c>
      <c r="F23" s="227"/>
      <c r="G23" s="228">
        <v>0.85</v>
      </c>
      <c r="H23" s="214"/>
      <c r="I23" s="229">
        <v>420</v>
      </c>
      <c r="J23" s="230">
        <v>0</v>
      </c>
    </row>
    <row r="28" spans="1:10" x14ac:dyDescent="0.2">
      <c r="A28" s="22" t="s">
        <v>1927</v>
      </c>
      <c r="G28" s="351">
        <f>SUM(G22:G23)</f>
        <v>41.910000000000004</v>
      </c>
    </row>
    <row r="33" spans="1:10" ht="18" x14ac:dyDescent="0.25">
      <c r="A33" s="209" t="s">
        <v>1489</v>
      </c>
      <c r="B33" s="209"/>
      <c r="C33" s="209"/>
      <c r="D33" s="212" t="s">
        <v>1490</v>
      </c>
      <c r="E33" s="212"/>
      <c r="F33" s="875" t="s">
        <v>1491</v>
      </c>
      <c r="G33" s="875"/>
      <c r="H33" s="218"/>
      <c r="I33" s="218"/>
      <c r="J33" s="218"/>
    </row>
    <row r="34" spans="1:10" ht="18" x14ac:dyDescent="0.25">
      <c r="A34" s="210"/>
      <c r="B34" s="210"/>
      <c r="C34" s="210"/>
      <c r="D34" s="212" t="s">
        <v>1492</v>
      </c>
      <c r="E34" s="212"/>
      <c r="F34" s="876">
        <v>44001</v>
      </c>
      <c r="G34" s="876"/>
      <c r="H34" s="218"/>
      <c r="I34" s="218"/>
      <c r="J34" s="218"/>
    </row>
    <row r="35" spans="1:10" x14ac:dyDescent="0.2">
      <c r="A35" s="206"/>
      <c r="B35" s="206"/>
      <c r="C35" s="206"/>
      <c r="D35" s="213"/>
      <c r="E35" s="213"/>
      <c r="F35" s="213"/>
      <c r="G35" s="214"/>
      <c r="H35" s="214"/>
      <c r="I35" s="214"/>
      <c r="J35" s="214"/>
    </row>
    <row r="36" spans="1:10" x14ac:dyDescent="0.2">
      <c r="A36" s="206"/>
      <c r="B36" s="206"/>
      <c r="C36" s="206"/>
      <c r="D36" s="215" t="s">
        <v>1493</v>
      </c>
      <c r="E36" s="215" t="s">
        <v>1494</v>
      </c>
      <c r="F36" s="215" t="s">
        <v>1495</v>
      </c>
      <c r="G36" s="214"/>
      <c r="H36" s="214"/>
      <c r="I36" s="214"/>
      <c r="J36" s="214"/>
    </row>
    <row r="37" spans="1:10" x14ac:dyDescent="0.2">
      <c r="A37" s="211" t="s">
        <v>1496</v>
      </c>
      <c r="B37" s="211" t="s">
        <v>1497</v>
      </c>
      <c r="C37" s="211" t="s">
        <v>1498</v>
      </c>
      <c r="D37" s="216" t="s">
        <v>1499</v>
      </c>
      <c r="E37" s="216" t="s">
        <v>1499</v>
      </c>
      <c r="F37" s="216">
        <v>3925</v>
      </c>
      <c r="G37" s="217" t="s">
        <v>1500</v>
      </c>
      <c r="H37" s="219"/>
      <c r="I37" s="220"/>
      <c r="J37" s="221" t="s">
        <v>1501</v>
      </c>
    </row>
    <row r="38" spans="1:10" x14ac:dyDescent="0.2">
      <c r="A38" s="222" t="s">
        <v>1502</v>
      </c>
      <c r="B38" s="223" t="s">
        <v>55</v>
      </c>
      <c r="C38" s="442">
        <v>100</v>
      </c>
      <c r="D38" s="225">
        <v>22</v>
      </c>
      <c r="E38" s="226">
        <v>0.85</v>
      </c>
      <c r="F38" s="227"/>
      <c r="G38" s="228">
        <v>22.85</v>
      </c>
      <c r="H38" s="214"/>
      <c r="I38" s="229">
        <v>400</v>
      </c>
      <c r="J38" s="230">
        <v>161.92000000000002</v>
      </c>
    </row>
    <row r="39" spans="1:10" x14ac:dyDescent="0.2">
      <c r="A39" s="222" t="s">
        <v>1503</v>
      </c>
      <c r="B39" s="223" t="s">
        <v>1504</v>
      </c>
      <c r="C39" s="442">
        <v>100</v>
      </c>
      <c r="D39" s="225"/>
      <c r="E39" s="226">
        <v>0.85</v>
      </c>
      <c r="F39" s="227"/>
      <c r="G39" s="228">
        <v>0.85</v>
      </c>
      <c r="H39" s="214"/>
      <c r="I39" s="229">
        <v>420</v>
      </c>
      <c r="J39" s="230">
        <v>0</v>
      </c>
    </row>
    <row r="44" spans="1:10" x14ac:dyDescent="0.2">
      <c r="A44" s="22" t="s">
        <v>1928</v>
      </c>
      <c r="G44" s="351">
        <f>SUM(G38:G39)</f>
        <v>23.700000000000003</v>
      </c>
    </row>
  </sheetData>
  <mergeCells count="6">
    <mergeCell ref="F34:G34"/>
    <mergeCell ref="F1:G1"/>
    <mergeCell ref="F2:G2"/>
    <mergeCell ref="F17:G17"/>
    <mergeCell ref="F18:G18"/>
    <mergeCell ref="F33:G3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5DED-824C-4E5C-8EEC-AB828D028DAD}">
  <sheetPr>
    <tabColor theme="7"/>
  </sheetPr>
  <dimension ref="A2:C2"/>
  <sheetViews>
    <sheetView workbookViewId="0">
      <selection activeCell="S20" sqref="S20"/>
    </sheetView>
  </sheetViews>
  <sheetFormatPr defaultRowHeight="12.75" x14ac:dyDescent="0.2"/>
  <sheetData>
    <row r="2" spans="1:3" x14ac:dyDescent="0.2">
      <c r="A2" s="393" t="s">
        <v>1929</v>
      </c>
      <c r="B2" s="393"/>
      <c r="C2" s="395">
        <f>42.53+0.85</f>
        <v>43.38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D15E-396C-436F-B9C9-06A937588BEE}">
  <sheetPr>
    <tabColor theme="7"/>
  </sheetPr>
  <dimension ref="A2:D2"/>
  <sheetViews>
    <sheetView workbookViewId="0">
      <selection activeCell="S20" sqref="S20"/>
    </sheetView>
  </sheetViews>
  <sheetFormatPr defaultRowHeight="12.75" x14ac:dyDescent="0.2"/>
  <sheetData>
    <row r="2" spans="1:4" x14ac:dyDescent="0.2">
      <c r="A2" s="393" t="s">
        <v>1930</v>
      </c>
      <c r="B2" s="393"/>
      <c r="C2" s="393"/>
      <c r="D2" s="395">
        <f>23.02+0.85</f>
        <v>23.87</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4854-FDB4-46F7-A7AA-97771AA7A116}">
  <sheetPr>
    <tabColor theme="7"/>
  </sheetPr>
  <dimension ref="A2:D2"/>
  <sheetViews>
    <sheetView workbookViewId="0">
      <selection activeCell="S20" sqref="S20"/>
    </sheetView>
  </sheetViews>
  <sheetFormatPr defaultRowHeight="12.75" x14ac:dyDescent="0.2"/>
  <sheetData>
    <row r="2" spans="1:4" x14ac:dyDescent="0.2">
      <c r="A2" s="393" t="s">
        <v>1931</v>
      </c>
      <c r="B2" s="393"/>
      <c r="C2" s="393"/>
      <c r="D2" s="395">
        <f>41.94+0.85</f>
        <v>42.79</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EC36-590C-40E2-8CAA-D74EEC07E312}">
  <sheetPr>
    <tabColor theme="9"/>
    <pageSetUpPr fitToPage="1"/>
  </sheetPr>
  <dimension ref="A8:S54"/>
  <sheetViews>
    <sheetView topLeftCell="A16" zoomScaleNormal="100" workbookViewId="0">
      <selection activeCell="L47" sqref="L47"/>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v>43756</v>
      </c>
      <c r="C15" s="238"/>
      <c r="M15" s="239"/>
      <c r="N15" s="239"/>
    </row>
    <row r="16" spans="1:19" x14ac:dyDescent="0.25">
      <c r="A16" s="237" t="s">
        <v>1851</v>
      </c>
      <c r="B16" s="582" t="s">
        <v>134</v>
      </c>
      <c r="M16" s="239"/>
      <c r="N16" s="239"/>
      <c r="O16" s="239"/>
      <c r="P16" s="239"/>
      <c r="Q16" s="240"/>
      <c r="R16" s="239"/>
      <c r="S16" s="240"/>
    </row>
    <row r="17" spans="1:19" x14ac:dyDescent="0.25">
      <c r="A17" s="237" t="s">
        <v>1852</v>
      </c>
      <c r="B17" s="582" t="s">
        <v>1466</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hidden="1" x14ac:dyDescent="0.25">
      <c r="A23" s="247" t="s">
        <v>1859</v>
      </c>
      <c r="B23" s="584" t="s">
        <v>1932</v>
      </c>
      <c r="C23" s="249">
        <v>3605</v>
      </c>
      <c r="D23" s="250">
        <f>GETPIVOTDATA("Net",'Orbit Jul-Oct 19'!$A$94,"A/C Code",3605,"Departure Date",DATE(2019,10,18),"Reason for Travel","Rautaki")+GETPIVOTDATA("Net",'Orbit Jul-Oct 19'!$A$94,"A/C Code",3605,"Departure Date",DATE(2019,10,18),"Reason for Travel","Wgtn")+GETPIVOTDATA("Net",'Orbit Jul-Oct 19'!$A$94,"A/C Code",3605,"Departure Date",DATE(2019,10,18),"Reason for Travel","Attend the NZ Story Board meeting")+GETPIVOTDATA("Net",'Orbit Jul-Oct 19'!$A$94,"A/C Code",3605,"Departure Date",DATE(2019,10,22),"Reason for Travel","Dest Alk Futures Forum Ateed")+GETPIVOTDATA("Net",'Orbit Jul-Oct 19'!$A$94,"A/C Code",3605,"Departure Date",DATE(2019,10,22),"Reason for Travel","Rautaki")</f>
        <v>51.2</v>
      </c>
      <c r="E23" s="241">
        <v>43756</v>
      </c>
      <c r="F23" s="585" t="s">
        <v>134</v>
      </c>
      <c r="G23" s="248"/>
      <c r="L23" s="245"/>
      <c r="M23" s="246"/>
      <c r="N23" s="239"/>
      <c r="O23" s="246"/>
      <c r="P23" s="246"/>
      <c r="Q23" s="246"/>
      <c r="R23" s="240"/>
      <c r="S23" s="240"/>
    </row>
    <row r="24" spans="1:19" hidden="1" x14ac:dyDescent="0.25">
      <c r="A24" s="248"/>
      <c r="B24" s="584" t="s">
        <v>1933</v>
      </c>
      <c r="C24" s="249">
        <v>3705</v>
      </c>
      <c r="D24" s="255">
        <f>GETPIVOTDATA("Net",'Orbit Jul-Oct 19'!$A$94,"A/C Code",3610,"Departure Date",DATE(2019,10,18),"Reason for Travel","Attend the NZ Story Board meeting")</f>
        <v>662.86</v>
      </c>
      <c r="E24" s="241"/>
      <c r="F24" s="585"/>
      <c r="G24" s="248"/>
      <c r="L24" s="245"/>
      <c r="M24" s="246"/>
      <c r="N24" s="239"/>
      <c r="O24" s="246"/>
      <c r="P24" s="246"/>
      <c r="Q24" s="246"/>
      <c r="R24" s="240"/>
      <c r="S24" s="240"/>
    </row>
    <row r="25" spans="1:19" s="248" customFormat="1" hidden="1" x14ac:dyDescent="0.25">
      <c r="A25" s="237"/>
      <c r="C25" s="249"/>
      <c r="D25" s="250">
        <f>SUM(D23:D24)</f>
        <v>714.06000000000006</v>
      </c>
      <c r="E25" s="256"/>
      <c r="F25" s="233"/>
      <c r="L25" s="251"/>
      <c r="M25" s="252"/>
      <c r="N25" s="253"/>
      <c r="O25" s="252"/>
      <c r="P25" s="252"/>
      <c r="Q25" s="252"/>
      <c r="R25" s="254"/>
      <c r="S25" s="254"/>
    </row>
    <row r="26" spans="1:19" s="248" customFormat="1" hidden="1" x14ac:dyDescent="0.25">
      <c r="A26" s="237"/>
      <c r="C26" s="249"/>
      <c r="D26" s="250"/>
      <c r="E26" s="233"/>
      <c r="F26" s="233"/>
      <c r="G26" s="233"/>
      <c r="L26" s="251"/>
      <c r="M26" s="252"/>
      <c r="N26" s="253"/>
      <c r="O26" s="252"/>
      <c r="P26" s="252"/>
      <c r="Q26" s="252"/>
      <c r="R26" s="254"/>
      <c r="S26" s="254"/>
    </row>
    <row r="27" spans="1:19" hidden="1" x14ac:dyDescent="0.25">
      <c r="A27" s="257" t="s">
        <v>1866</v>
      </c>
      <c r="B27" s="586" t="s">
        <v>1934</v>
      </c>
      <c r="C27" s="258">
        <v>3635</v>
      </c>
      <c r="D27" s="259">
        <f>GETPIVOTDATA("Net",'Orbit Jul-Oct 19'!$A$94,"A/C Code",3635,"Departure Date",DATE(2019,10,18),"Reason for Travel","Attend the NZ Story Board meeting")</f>
        <v>61.74</v>
      </c>
      <c r="E27" s="241">
        <v>43756</v>
      </c>
      <c r="F27" s="582" t="s">
        <v>134</v>
      </c>
      <c r="L27" s="245"/>
      <c r="M27" s="246"/>
      <c r="N27" s="239"/>
      <c r="O27" s="246"/>
      <c r="P27" s="246"/>
      <c r="Q27" s="246"/>
      <c r="R27" s="240"/>
      <c r="S27" s="240"/>
    </row>
    <row r="28" spans="1:19" hidden="1" x14ac:dyDescent="0.25">
      <c r="A28" s="237"/>
      <c r="B28" s="584"/>
      <c r="C28" s="249"/>
      <c r="D28" s="250"/>
      <c r="E28" s="241"/>
      <c r="F28" s="582"/>
      <c r="L28" s="245"/>
      <c r="M28" s="246"/>
      <c r="N28" s="239"/>
      <c r="O28" s="246"/>
      <c r="P28" s="246"/>
      <c r="Q28" s="246"/>
      <c r="R28" s="240"/>
      <c r="S28" s="240"/>
    </row>
    <row r="29" spans="1:19" x14ac:dyDescent="0.25">
      <c r="A29" s="237"/>
      <c r="B29" s="248"/>
      <c r="C29" s="249"/>
      <c r="D29" s="250"/>
      <c r="E29" s="241"/>
      <c r="L29" s="245"/>
      <c r="M29" s="246"/>
      <c r="N29" s="239"/>
      <c r="O29" s="246"/>
      <c r="P29" s="246"/>
      <c r="Q29" s="246"/>
      <c r="R29" s="240"/>
      <c r="S29" s="240"/>
    </row>
    <row r="30" spans="1:19" x14ac:dyDescent="0.25">
      <c r="A30" s="237" t="s">
        <v>1935</v>
      </c>
      <c r="B30" s="584" t="s">
        <v>1936</v>
      </c>
      <c r="C30" s="249" t="s">
        <v>386</v>
      </c>
      <c r="D30" s="250">
        <v>14.09</v>
      </c>
      <c r="E30" s="241">
        <v>43756</v>
      </c>
      <c r="F30" s="582" t="s">
        <v>134</v>
      </c>
      <c r="L30" s="245"/>
      <c r="M30" s="246"/>
      <c r="N30" s="239"/>
      <c r="O30" s="246"/>
      <c r="P30" s="246"/>
      <c r="Q30" s="246"/>
      <c r="R30" s="240"/>
      <c r="S30" s="240"/>
    </row>
    <row r="31" spans="1:19" x14ac:dyDescent="0.25">
      <c r="A31" s="237"/>
      <c r="B31" s="248"/>
      <c r="C31" s="249"/>
      <c r="D31" s="250"/>
      <c r="E31" s="241"/>
      <c r="L31" s="245"/>
      <c r="M31" s="246"/>
      <c r="N31" s="239"/>
      <c r="O31" s="246"/>
      <c r="P31" s="246"/>
      <c r="Q31" s="246"/>
      <c r="R31" s="240"/>
      <c r="S31" s="240"/>
    </row>
    <row r="32" spans="1:19" x14ac:dyDescent="0.25">
      <c r="A32" s="237"/>
      <c r="B32" s="248"/>
      <c r="C32" s="249"/>
      <c r="D32" s="250"/>
      <c r="E32" s="241"/>
      <c r="L32" s="245"/>
      <c r="M32" s="246"/>
      <c r="N32" s="239"/>
      <c r="O32" s="246"/>
      <c r="P32" s="246"/>
      <c r="Q32" s="246"/>
      <c r="R32" s="240"/>
      <c r="S32" s="240"/>
    </row>
    <row r="33" spans="1:19" x14ac:dyDescent="0.25">
      <c r="A33" s="237"/>
      <c r="B33" s="584"/>
      <c r="C33" s="249"/>
      <c r="D33" s="250"/>
      <c r="E33" s="241"/>
      <c r="F33" s="582"/>
      <c r="L33" s="245"/>
      <c r="M33" s="246"/>
      <c r="N33" s="239"/>
      <c r="O33" s="246"/>
      <c r="P33" s="246"/>
      <c r="Q33" s="246"/>
      <c r="R33" s="240"/>
      <c r="S33" s="240"/>
    </row>
    <row r="34" spans="1:19" x14ac:dyDescent="0.25">
      <c r="A34" s="237" t="s">
        <v>1385</v>
      </c>
      <c r="B34" s="584" t="s">
        <v>1937</v>
      </c>
      <c r="C34" s="249" t="s">
        <v>414</v>
      </c>
      <c r="D34" s="250">
        <v>39.130000000000003</v>
      </c>
      <c r="E34" s="588">
        <v>43756</v>
      </c>
      <c r="F34" s="582" t="s">
        <v>137</v>
      </c>
      <c r="L34" s="245"/>
      <c r="M34" s="246"/>
      <c r="N34" s="239"/>
      <c r="O34" s="246"/>
      <c r="P34" s="246"/>
      <c r="Q34" s="246"/>
      <c r="R34" s="240"/>
      <c r="S34" s="240"/>
    </row>
    <row r="35" spans="1:19" x14ac:dyDescent="0.25">
      <c r="A35" s="237"/>
      <c r="B35" s="584" t="s">
        <v>1938</v>
      </c>
      <c r="C35" s="249" t="s">
        <v>414</v>
      </c>
      <c r="D35" s="250">
        <v>44</v>
      </c>
      <c r="E35" s="588">
        <v>43756</v>
      </c>
      <c r="F35" s="582" t="s">
        <v>134</v>
      </c>
      <c r="L35" s="245"/>
      <c r="M35" s="246"/>
      <c r="N35" s="239"/>
      <c r="O35" s="246"/>
      <c r="P35" s="246"/>
      <c r="Q35" s="246"/>
      <c r="R35" s="240"/>
      <c r="S35" s="240"/>
    </row>
    <row r="36" spans="1:19" x14ac:dyDescent="0.25">
      <c r="A36" s="237"/>
      <c r="B36" s="584"/>
      <c r="C36" s="249"/>
      <c r="D36" s="250"/>
      <c r="E36" s="241"/>
      <c r="F36" s="582"/>
      <c r="L36" s="245"/>
      <c r="M36" s="246"/>
      <c r="N36" s="239"/>
      <c r="O36" s="246"/>
      <c r="P36" s="246"/>
      <c r="Q36" s="246"/>
      <c r="R36" s="240"/>
      <c r="S36" s="240"/>
    </row>
    <row r="37" spans="1:19" x14ac:dyDescent="0.25">
      <c r="A37" s="237"/>
      <c r="B37" s="582"/>
      <c r="D37" s="250"/>
      <c r="E37" s="241"/>
      <c r="L37" s="245"/>
      <c r="M37" s="246"/>
      <c r="N37" s="239"/>
      <c r="O37" s="246"/>
      <c r="P37" s="246"/>
      <c r="Q37" s="246"/>
      <c r="R37" s="240"/>
      <c r="S37" s="240"/>
    </row>
    <row r="38" spans="1:19" x14ac:dyDescent="0.25">
      <c r="A38" s="237"/>
      <c r="B38" s="584"/>
      <c r="C38" s="249"/>
      <c r="D38" s="250"/>
      <c r="E38" s="241"/>
      <c r="F38" s="582"/>
      <c r="L38" s="245"/>
      <c r="M38" s="246"/>
      <c r="N38" s="239"/>
      <c r="O38" s="246"/>
      <c r="P38" s="246"/>
      <c r="Q38" s="246"/>
      <c r="R38" s="240"/>
      <c r="S38" s="240"/>
    </row>
    <row r="39" spans="1:19" x14ac:dyDescent="0.25">
      <c r="A39" s="237"/>
      <c r="B39" s="584"/>
      <c r="C39" s="249"/>
      <c r="D39" s="250"/>
      <c r="E39" s="241"/>
      <c r="F39" s="582"/>
      <c r="L39" s="245"/>
      <c r="M39" s="246"/>
      <c r="N39" s="239"/>
      <c r="O39" s="246"/>
      <c r="P39" s="246"/>
      <c r="Q39" s="246"/>
      <c r="R39" s="240"/>
      <c r="S39" s="240"/>
    </row>
    <row r="40" spans="1:19" x14ac:dyDescent="0.25">
      <c r="D40" s="250"/>
      <c r="E40" s="241"/>
      <c r="L40" s="245"/>
      <c r="M40" s="246"/>
      <c r="N40" s="239"/>
      <c r="O40" s="246"/>
      <c r="P40" s="246"/>
      <c r="Q40" s="246"/>
      <c r="R40" s="240"/>
      <c r="S40" s="240"/>
    </row>
    <row r="41" spans="1:19" x14ac:dyDescent="0.25">
      <c r="A41" s="237"/>
      <c r="B41" s="582"/>
      <c r="C41" s="293"/>
      <c r="D41" s="250"/>
      <c r="E41" s="241"/>
      <c r="F41" s="582"/>
      <c r="G41" s="582"/>
      <c r="L41" s="245"/>
      <c r="M41" s="246"/>
      <c r="N41" s="239"/>
      <c r="O41" s="246"/>
      <c r="P41" s="246"/>
      <c r="Q41" s="246"/>
      <c r="R41" s="240"/>
      <c r="S41" s="240"/>
    </row>
    <row r="42" spans="1:19" x14ac:dyDescent="0.25">
      <c r="D42" s="250"/>
      <c r="E42" s="241"/>
      <c r="L42" s="245"/>
      <c r="M42" s="246"/>
      <c r="N42" s="239"/>
      <c r="O42" s="246"/>
      <c r="P42" s="246"/>
      <c r="Q42" s="246"/>
      <c r="R42" s="240"/>
      <c r="S42" s="240"/>
    </row>
    <row r="43" spans="1:19" x14ac:dyDescent="0.25">
      <c r="D43" s="250"/>
      <c r="E43" s="241"/>
      <c r="L43" s="245"/>
      <c r="M43" s="246"/>
      <c r="N43" s="239"/>
      <c r="O43" s="246"/>
      <c r="P43" s="246"/>
      <c r="Q43" s="246"/>
      <c r="R43" s="240"/>
      <c r="S43" s="240"/>
    </row>
    <row r="44" spans="1:19" ht="15.75" thickBot="1" x14ac:dyDescent="0.3">
      <c r="A44" s="237" t="s">
        <v>1873</v>
      </c>
      <c r="B44" s="237"/>
      <c r="D44" s="260">
        <f>SUM(D30:D43)</f>
        <v>97.22</v>
      </c>
      <c r="E44" s="241"/>
      <c r="L44" s="245"/>
      <c r="M44" s="246"/>
      <c r="N44" s="239"/>
      <c r="O44" s="246"/>
      <c r="P44" s="246"/>
      <c r="Q44" s="246"/>
      <c r="R44" s="240"/>
      <c r="S44" s="240"/>
    </row>
    <row r="45" spans="1:19" ht="15.75" thickTop="1" x14ac:dyDescent="0.25">
      <c r="D45" s="250"/>
      <c r="E45" s="241"/>
      <c r="L45" s="245"/>
      <c r="M45" s="246"/>
      <c r="N45" s="239"/>
      <c r="O45" s="246"/>
      <c r="P45" s="246"/>
      <c r="Q45" s="246"/>
      <c r="R45" s="240"/>
      <c r="S45" s="240"/>
    </row>
    <row r="46" spans="1:19" x14ac:dyDescent="0.25">
      <c r="E46" s="241"/>
      <c r="L46" s="245"/>
      <c r="M46" s="246"/>
      <c r="N46" s="239"/>
      <c r="O46" s="246"/>
      <c r="P46" s="246"/>
      <c r="Q46" s="246"/>
      <c r="R46" s="240"/>
      <c r="S46" s="240"/>
    </row>
    <row r="47" spans="1:19" x14ac:dyDescent="0.25">
      <c r="L47" s="245"/>
      <c r="M47" s="246"/>
      <c r="N47" s="239"/>
      <c r="O47" s="246"/>
      <c r="P47" s="246"/>
      <c r="Q47" s="246"/>
      <c r="R47" s="240"/>
      <c r="S47" s="240"/>
    </row>
    <row r="49" spans="1:19" x14ac:dyDescent="0.25">
      <c r="A49" s="261"/>
      <c r="C49" s="262"/>
      <c r="D49" s="261"/>
    </row>
    <row r="50" spans="1:19" x14ac:dyDescent="0.25">
      <c r="A50" s="233" t="s">
        <v>1874</v>
      </c>
      <c r="C50" s="233" t="s">
        <v>1102</v>
      </c>
      <c r="L50" s="245"/>
      <c r="M50" s="246"/>
      <c r="N50" s="239"/>
      <c r="O50" s="246"/>
      <c r="P50" s="246"/>
      <c r="Q50" s="246"/>
      <c r="R50" s="240"/>
      <c r="S50" s="240"/>
    </row>
    <row r="51" spans="1:19" x14ac:dyDescent="0.25">
      <c r="L51" s="245"/>
      <c r="M51" s="246"/>
      <c r="N51" s="239"/>
      <c r="O51" s="246"/>
      <c r="P51" s="246"/>
      <c r="Q51" s="246"/>
      <c r="R51" s="240"/>
      <c r="S51" s="240"/>
    </row>
    <row r="52" spans="1:19" x14ac:dyDescent="0.25">
      <c r="L52" s="245"/>
      <c r="M52" s="246"/>
      <c r="N52" s="239"/>
      <c r="O52" s="246"/>
      <c r="P52" s="246"/>
      <c r="Q52" s="246"/>
      <c r="R52" s="240"/>
      <c r="S52" s="240"/>
    </row>
    <row r="53" spans="1:19" x14ac:dyDescent="0.25">
      <c r="A53" s="261"/>
      <c r="C53" s="261"/>
      <c r="D53" s="261"/>
      <c r="L53" s="245"/>
      <c r="M53" s="246"/>
      <c r="N53" s="239"/>
      <c r="O53" s="246"/>
      <c r="P53" s="246"/>
      <c r="Q53" s="246"/>
      <c r="R53" s="240"/>
      <c r="S53" s="240"/>
    </row>
    <row r="54" spans="1:19" ht="14.25" customHeight="1" x14ac:dyDescent="0.25">
      <c r="A54" s="233" t="s">
        <v>1875</v>
      </c>
      <c r="C54" s="233" t="s">
        <v>1102</v>
      </c>
      <c r="L54" s="245"/>
      <c r="M54" s="246"/>
      <c r="N54" s="239"/>
      <c r="O54" s="246"/>
      <c r="P54" s="246"/>
      <c r="Q54" s="246"/>
      <c r="R54" s="240"/>
      <c r="S54"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C90C-C8B2-446B-9762-A088E890303A}">
  <sheetPr>
    <tabColor theme="9"/>
    <pageSetUpPr fitToPage="1"/>
  </sheetPr>
  <dimension ref="A8:S50"/>
  <sheetViews>
    <sheetView topLeftCell="A10" zoomScaleNormal="100" workbookViewId="0">
      <selection activeCell="H33" sqref="H33"/>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1588</v>
      </c>
    </row>
    <row r="15" spans="1:19" x14ac:dyDescent="0.25">
      <c r="A15" s="237" t="s">
        <v>1849</v>
      </c>
      <c r="B15" s="583" t="s">
        <v>1939</v>
      </c>
      <c r="C15" s="238"/>
      <c r="M15" s="239"/>
      <c r="N15" s="239"/>
    </row>
    <row r="16" spans="1:19" x14ac:dyDescent="0.25">
      <c r="A16" s="237" t="s">
        <v>1851</v>
      </c>
      <c r="B16" s="582" t="s">
        <v>1759</v>
      </c>
      <c r="M16" s="239"/>
      <c r="N16" s="239"/>
      <c r="O16" s="239"/>
      <c r="P16" s="239"/>
      <c r="Q16" s="240"/>
      <c r="R16" s="239"/>
      <c r="S16" s="240"/>
    </row>
    <row r="17" spans="1:19" x14ac:dyDescent="0.25">
      <c r="A17" s="237" t="s">
        <v>1852</v>
      </c>
      <c r="B17" s="582" t="s">
        <v>1940</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hidden="1" x14ac:dyDescent="0.25">
      <c r="A23" s="247" t="s">
        <v>1859</v>
      </c>
      <c r="B23" s="584" t="s">
        <v>1941</v>
      </c>
      <c r="C23" s="249">
        <v>3605</v>
      </c>
      <c r="D23" s="250">
        <f>GETPIVOTDATA("Net",'Orbit Jul-Oct 19'!$A$94,"A/C Code",3605,"Departure Date",DATE(2020,1,10),"Reason for Travel","Conference")</f>
        <v>135.35</v>
      </c>
      <c r="E23" s="241">
        <v>43475</v>
      </c>
      <c r="F23" s="585" t="s">
        <v>1759</v>
      </c>
      <c r="G23" s="248"/>
      <c r="L23" s="245"/>
      <c r="M23" s="246"/>
      <c r="N23" s="239"/>
      <c r="O23" s="246"/>
      <c r="P23" s="246"/>
      <c r="Q23" s="246"/>
      <c r="R23" s="240"/>
      <c r="S23" s="240"/>
    </row>
    <row r="24" spans="1:19" hidden="1" x14ac:dyDescent="0.25">
      <c r="A24" s="248"/>
      <c r="B24" s="584" t="s">
        <v>1942</v>
      </c>
      <c r="C24" s="249">
        <v>3705</v>
      </c>
      <c r="D24" s="255">
        <f>GETPIVOTDATA("Net",'Orbit Jul-Oct 19'!$A$94,"A/C Code",3705,"Departure Date",DATE(2020,1,10),"Reason for Travel","Conference")</f>
        <v>7777.23</v>
      </c>
      <c r="E24" s="241"/>
      <c r="F24" s="585"/>
      <c r="G24" s="248"/>
      <c r="L24" s="245"/>
      <c r="M24" s="246"/>
      <c r="N24" s="239"/>
      <c r="O24" s="246"/>
      <c r="P24" s="246"/>
      <c r="Q24" s="246"/>
      <c r="R24" s="240"/>
      <c r="S24" s="240"/>
    </row>
    <row r="25" spans="1:19" s="248" customFormat="1" hidden="1" x14ac:dyDescent="0.25">
      <c r="A25" s="237"/>
      <c r="C25" s="249"/>
      <c r="D25" s="250">
        <f>SUM(D23:D24)</f>
        <v>7912.58</v>
      </c>
      <c r="E25" s="256"/>
      <c r="F25" s="233"/>
      <c r="L25" s="251"/>
      <c r="M25" s="252"/>
      <c r="N25" s="253"/>
      <c r="O25" s="252"/>
      <c r="P25" s="252"/>
      <c r="Q25" s="252"/>
      <c r="R25" s="254"/>
      <c r="S25" s="254"/>
    </row>
    <row r="26" spans="1:19" s="248" customFormat="1" x14ac:dyDescent="0.25">
      <c r="A26" s="237"/>
      <c r="C26" s="249"/>
      <c r="D26" s="250"/>
      <c r="E26" s="233"/>
      <c r="F26" s="233"/>
      <c r="G26" s="233"/>
      <c r="L26" s="251"/>
      <c r="M26" s="252"/>
      <c r="N26" s="253"/>
      <c r="O26" s="252"/>
      <c r="P26" s="252"/>
      <c r="Q26" s="252"/>
      <c r="R26" s="254"/>
      <c r="S26" s="254"/>
    </row>
    <row r="27" spans="1:19" x14ac:dyDescent="0.25">
      <c r="A27" s="257"/>
      <c r="B27" s="586"/>
      <c r="C27" s="258"/>
      <c r="D27" s="259"/>
      <c r="E27" s="241"/>
      <c r="F27" s="582"/>
      <c r="L27" s="245"/>
      <c r="M27" s="246"/>
      <c r="N27" s="239"/>
      <c r="O27" s="246"/>
      <c r="P27" s="246"/>
      <c r="Q27" s="246"/>
      <c r="R27" s="240"/>
      <c r="S27" s="240"/>
    </row>
    <row r="28" spans="1:19" ht="30" x14ac:dyDescent="0.25">
      <c r="A28" s="237" t="s">
        <v>1935</v>
      </c>
      <c r="B28" s="584" t="s">
        <v>1943</v>
      </c>
      <c r="C28" s="249">
        <v>3710</v>
      </c>
      <c r="D28" s="250">
        <f>'P-Card Oct-Mar 20'!J23</f>
        <v>154</v>
      </c>
      <c r="E28" s="241">
        <v>43844</v>
      </c>
      <c r="F28" s="582" t="s">
        <v>1759</v>
      </c>
      <c r="L28" s="245"/>
      <c r="M28" s="246"/>
      <c r="N28" s="239"/>
      <c r="O28" s="246"/>
      <c r="P28" s="246"/>
      <c r="Q28" s="246"/>
      <c r="R28" s="240"/>
      <c r="S28" s="240"/>
    </row>
    <row r="29" spans="1:19" x14ac:dyDescent="0.25">
      <c r="A29" s="237"/>
      <c r="B29" s="248"/>
      <c r="C29" s="249"/>
      <c r="D29" s="250"/>
      <c r="E29" s="241"/>
      <c r="L29" s="245"/>
      <c r="M29" s="246"/>
      <c r="N29" s="239"/>
      <c r="O29" s="246"/>
      <c r="P29" s="246"/>
      <c r="Q29" s="246"/>
      <c r="R29" s="240"/>
      <c r="S29" s="240"/>
    </row>
    <row r="30" spans="1:19" x14ac:dyDescent="0.25">
      <c r="A30" s="237"/>
      <c r="B30" s="584"/>
      <c r="C30" s="249"/>
      <c r="D30" s="250"/>
      <c r="E30" s="241"/>
      <c r="F30" s="582"/>
      <c r="L30" s="245"/>
      <c r="M30" s="246"/>
      <c r="N30" s="239"/>
      <c r="O30" s="246"/>
      <c r="P30" s="246"/>
      <c r="Q30" s="246"/>
      <c r="R30" s="240"/>
      <c r="S30" s="240"/>
    </row>
    <row r="31" spans="1:19" x14ac:dyDescent="0.25">
      <c r="A31" s="237"/>
      <c r="B31" s="248"/>
      <c r="C31" s="249"/>
      <c r="D31" s="250"/>
      <c r="E31" s="241"/>
      <c r="L31" s="245"/>
      <c r="M31" s="246"/>
      <c r="N31" s="239"/>
      <c r="O31" s="246"/>
      <c r="P31" s="246"/>
      <c r="Q31" s="246"/>
      <c r="R31" s="240"/>
      <c r="S31" s="240"/>
    </row>
    <row r="32" spans="1:19" x14ac:dyDescent="0.25">
      <c r="A32" s="237"/>
      <c r="B32" s="248"/>
      <c r="C32" s="249"/>
      <c r="D32" s="250"/>
      <c r="E32" s="241"/>
      <c r="L32" s="245"/>
      <c r="M32" s="246"/>
      <c r="N32" s="239"/>
      <c r="O32" s="246"/>
      <c r="P32" s="246"/>
      <c r="Q32" s="246"/>
      <c r="R32" s="240"/>
      <c r="S32" s="240"/>
    </row>
    <row r="33" spans="1:19" x14ac:dyDescent="0.25">
      <c r="A33" s="237"/>
      <c r="B33" s="582"/>
      <c r="D33" s="250"/>
      <c r="E33" s="241"/>
      <c r="L33" s="245"/>
      <c r="M33" s="246"/>
      <c r="N33" s="239"/>
      <c r="O33" s="246"/>
      <c r="P33" s="246"/>
      <c r="Q33" s="246"/>
      <c r="R33" s="240"/>
      <c r="S33" s="240"/>
    </row>
    <row r="34" spans="1:19" x14ac:dyDescent="0.25">
      <c r="A34" s="237"/>
      <c r="B34" s="584"/>
      <c r="C34" s="249"/>
      <c r="D34" s="250"/>
      <c r="E34" s="241"/>
      <c r="F34" s="582"/>
      <c r="L34" s="245"/>
      <c r="M34" s="246"/>
      <c r="N34" s="239"/>
      <c r="O34" s="246"/>
      <c r="P34" s="246"/>
      <c r="Q34" s="246"/>
      <c r="R34" s="240"/>
      <c r="S34" s="240"/>
    </row>
    <row r="35" spans="1:19" x14ac:dyDescent="0.25">
      <c r="A35" s="237"/>
      <c r="B35" s="584"/>
      <c r="C35" s="249"/>
      <c r="D35" s="250"/>
      <c r="E35" s="241"/>
      <c r="F35" s="582"/>
      <c r="L35" s="245"/>
      <c r="M35" s="246"/>
      <c r="N35" s="239"/>
      <c r="O35" s="246"/>
      <c r="P35" s="246"/>
      <c r="Q35" s="246"/>
      <c r="R35" s="240"/>
      <c r="S35" s="240"/>
    </row>
    <row r="36" spans="1:19" x14ac:dyDescent="0.25">
      <c r="D36" s="250"/>
      <c r="E36" s="241"/>
      <c r="L36" s="245"/>
      <c r="M36" s="246"/>
      <c r="N36" s="239"/>
      <c r="O36" s="246"/>
      <c r="P36" s="246"/>
      <c r="Q36" s="246"/>
      <c r="R36" s="240"/>
      <c r="S36" s="240"/>
    </row>
    <row r="37" spans="1:19" x14ac:dyDescent="0.25">
      <c r="A37" s="237"/>
      <c r="B37" s="582"/>
      <c r="C37" s="293"/>
      <c r="D37" s="250"/>
      <c r="E37" s="241"/>
      <c r="F37" s="582"/>
      <c r="G37" s="582"/>
      <c r="L37" s="245"/>
      <c r="M37" s="246"/>
      <c r="N37" s="239"/>
      <c r="O37" s="246"/>
      <c r="P37" s="246"/>
      <c r="Q37" s="246"/>
      <c r="R37" s="240"/>
      <c r="S37" s="240"/>
    </row>
    <row r="38" spans="1:19" x14ac:dyDescent="0.25">
      <c r="D38" s="250"/>
      <c r="E38" s="241"/>
      <c r="L38" s="245"/>
      <c r="M38" s="246"/>
      <c r="N38" s="239"/>
      <c r="O38" s="246"/>
      <c r="P38" s="246"/>
      <c r="Q38" s="246"/>
      <c r="R38" s="240"/>
      <c r="S38" s="240"/>
    </row>
    <row r="39" spans="1:19" x14ac:dyDescent="0.25">
      <c r="D39" s="250"/>
      <c r="E39" s="241"/>
      <c r="L39" s="245"/>
      <c r="M39" s="246"/>
      <c r="N39" s="239"/>
      <c r="O39" s="246"/>
      <c r="P39" s="246"/>
      <c r="Q39" s="246"/>
      <c r="R39" s="240"/>
      <c r="S39" s="240"/>
    </row>
    <row r="40" spans="1:19" ht="15.75" thickBot="1" x14ac:dyDescent="0.3">
      <c r="A40" s="237" t="s">
        <v>1873</v>
      </c>
      <c r="B40" s="237"/>
      <c r="D40" s="260">
        <f>SUM(D28:D39)</f>
        <v>154</v>
      </c>
      <c r="E40" s="241"/>
      <c r="L40" s="245"/>
      <c r="M40" s="246"/>
      <c r="N40" s="239"/>
      <c r="O40" s="246"/>
      <c r="P40" s="246"/>
      <c r="Q40" s="246"/>
      <c r="R40" s="240"/>
      <c r="S40" s="240"/>
    </row>
    <row r="41" spans="1:19" ht="15.75" thickTop="1" x14ac:dyDescent="0.25">
      <c r="D41" s="250"/>
      <c r="E41" s="241"/>
      <c r="L41" s="245"/>
      <c r="M41" s="246"/>
      <c r="N41" s="239"/>
      <c r="O41" s="246"/>
      <c r="P41" s="246"/>
      <c r="Q41" s="246"/>
      <c r="R41" s="240"/>
      <c r="S41" s="240"/>
    </row>
    <row r="42" spans="1:19" x14ac:dyDescent="0.25">
      <c r="E42" s="241"/>
      <c r="L42" s="245"/>
      <c r="M42" s="246"/>
      <c r="N42" s="239"/>
      <c r="O42" s="246"/>
      <c r="P42" s="246"/>
      <c r="Q42" s="246"/>
      <c r="R42" s="240"/>
      <c r="S42" s="240"/>
    </row>
    <row r="43" spans="1:19" x14ac:dyDescent="0.25">
      <c r="L43" s="245"/>
      <c r="M43" s="246"/>
      <c r="N43" s="239"/>
      <c r="O43" s="246"/>
      <c r="P43" s="246"/>
      <c r="Q43" s="246"/>
      <c r="R43" s="240"/>
      <c r="S43" s="240"/>
    </row>
    <row r="45" spans="1:19" x14ac:dyDescent="0.25">
      <c r="A45" s="261"/>
      <c r="C45" s="262"/>
      <c r="D45" s="261"/>
    </row>
    <row r="46" spans="1:19" x14ac:dyDescent="0.25">
      <c r="A46" s="233" t="s">
        <v>1874</v>
      </c>
      <c r="C46" s="233" t="s">
        <v>1102</v>
      </c>
      <c r="L46" s="245"/>
      <c r="M46" s="246"/>
      <c r="N46" s="239"/>
      <c r="O46" s="246"/>
      <c r="P46" s="246"/>
      <c r="Q46" s="246"/>
      <c r="R46" s="240"/>
      <c r="S46" s="240"/>
    </row>
    <row r="47" spans="1:19" x14ac:dyDescent="0.25">
      <c r="L47" s="245"/>
      <c r="M47" s="246"/>
      <c r="N47" s="239"/>
      <c r="O47" s="246"/>
      <c r="P47" s="246"/>
      <c r="Q47" s="246"/>
      <c r="R47" s="240"/>
      <c r="S47" s="240"/>
    </row>
    <row r="48" spans="1:19" x14ac:dyDescent="0.25">
      <c r="L48" s="245"/>
      <c r="M48" s="246"/>
      <c r="N48" s="239"/>
      <c r="O48" s="246"/>
      <c r="P48" s="246"/>
      <c r="Q48" s="246"/>
      <c r="R48" s="240"/>
      <c r="S48" s="240"/>
    </row>
    <row r="49" spans="1:19" x14ac:dyDescent="0.25">
      <c r="A49" s="261"/>
      <c r="C49" s="261"/>
      <c r="D49" s="261"/>
      <c r="L49" s="245"/>
      <c r="M49" s="246"/>
      <c r="N49" s="239"/>
      <c r="O49" s="246"/>
      <c r="P49" s="246"/>
      <c r="Q49" s="246"/>
      <c r="R49" s="240"/>
      <c r="S49" s="240"/>
    </row>
    <row r="50" spans="1:19" ht="14.25" customHeight="1" x14ac:dyDescent="0.25">
      <c r="A50" s="233" t="s">
        <v>1875</v>
      </c>
      <c r="C50" s="233" t="s">
        <v>1102</v>
      </c>
      <c r="L50" s="245"/>
      <c r="M50" s="246"/>
      <c r="N50" s="239"/>
      <c r="O50" s="246"/>
      <c r="P50" s="246"/>
      <c r="Q50" s="246"/>
      <c r="R50" s="240"/>
      <c r="S50"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222B-714D-48DD-AE69-9DD3A57C5F19}">
  <sheetPr>
    <tabColor theme="7"/>
  </sheetPr>
  <dimension ref="A1:AB99"/>
  <sheetViews>
    <sheetView showGridLines="0" zoomScale="120" zoomScaleNormal="120" workbookViewId="0">
      <pane ySplit="7" topLeftCell="A77" activePane="bottomLeft" state="frozen"/>
      <selection pane="bottomLeft" activeCell="D17" sqref="D17:F17"/>
    </sheetView>
  </sheetViews>
  <sheetFormatPr defaultColWidth="9.140625" defaultRowHeight="15" x14ac:dyDescent="0.25"/>
  <cols>
    <col min="1" max="1" width="8.140625" style="490" customWidth="1"/>
    <col min="2" max="4" width="8.85546875" style="490" customWidth="1"/>
    <col min="5" max="5" width="8.28515625" style="490" customWidth="1"/>
    <col min="6" max="6" width="9.85546875" style="490" customWidth="1"/>
    <col min="7" max="7" width="17.28515625" style="490" customWidth="1"/>
    <col min="8" max="8" width="3.85546875" style="490" customWidth="1"/>
    <col min="9" max="9" width="0.140625" style="490" customWidth="1"/>
    <col min="10" max="10" width="15" style="490" customWidth="1"/>
    <col min="11" max="11" width="8.85546875" style="490" customWidth="1"/>
    <col min="12" max="12" width="6.7109375" style="490" customWidth="1"/>
    <col min="13" max="13" width="2.140625" style="490" customWidth="1"/>
    <col min="14" max="14" width="7.85546875" style="490" customWidth="1"/>
    <col min="15" max="15" width="8.5703125" style="490" customWidth="1"/>
    <col min="16" max="16" width="9.140625" style="490" customWidth="1"/>
    <col min="17" max="17" width="8.5703125" style="490" customWidth="1"/>
    <col min="18" max="19" width="0.28515625" style="490" customWidth="1"/>
    <col min="20" max="20" width="9.28515625" style="490" customWidth="1"/>
    <col min="21" max="21" width="1.28515625" style="490" customWidth="1"/>
    <col min="22" max="22" width="4" style="490" customWidth="1"/>
    <col min="23" max="23" width="2.42578125" style="490" customWidth="1"/>
    <col min="24" max="24" width="0" style="490" hidden="1" customWidth="1"/>
    <col min="25" max="25" width="1.5703125" style="490" customWidth="1"/>
    <col min="26" max="26" width="0" style="490" hidden="1" customWidth="1"/>
    <col min="27" max="27" width="0.28515625" style="490" customWidth="1"/>
    <col min="28" max="28" width="24" style="490" bestFit="1" customWidth="1"/>
    <col min="29" max="16384" width="9.140625" style="490"/>
  </cols>
  <sheetData>
    <row r="1" spans="1:28" ht="12" customHeight="1" x14ac:dyDescent="0.25">
      <c r="A1" s="827" t="s">
        <v>285</v>
      </c>
      <c r="B1" s="828"/>
      <c r="C1" s="828"/>
      <c r="D1" s="828"/>
      <c r="E1" s="828"/>
      <c r="F1" s="445"/>
      <c r="G1" s="445"/>
      <c r="H1" s="445"/>
      <c r="I1" s="445"/>
      <c r="J1" s="445"/>
      <c r="K1" s="445"/>
      <c r="L1" s="445"/>
      <c r="M1" s="445"/>
      <c r="N1" s="445"/>
      <c r="O1" s="445"/>
      <c r="P1" s="445"/>
      <c r="Q1" s="445"/>
      <c r="R1" s="445"/>
      <c r="S1" s="445"/>
      <c r="T1" s="829" t="s">
        <v>1944</v>
      </c>
      <c r="U1" s="828"/>
      <c r="V1" s="828"/>
      <c r="W1" s="828"/>
      <c r="X1" s="445"/>
      <c r="Y1" s="445"/>
      <c r="Z1" s="445"/>
      <c r="AA1" s="445"/>
      <c r="AB1" s="445"/>
    </row>
    <row r="2" spans="1:28" ht="12" customHeight="1" x14ac:dyDescent="0.25">
      <c r="A2" s="830" t="s">
        <v>1945</v>
      </c>
      <c r="B2" s="828"/>
      <c r="C2" s="828"/>
      <c r="D2" s="828"/>
      <c r="E2" s="828"/>
      <c r="F2" s="445"/>
      <c r="G2" s="445"/>
      <c r="H2" s="445"/>
      <c r="I2" s="445"/>
      <c r="J2" s="445"/>
      <c r="K2" s="445"/>
      <c r="L2" s="445"/>
      <c r="M2" s="445"/>
      <c r="N2" s="445"/>
      <c r="O2" s="445"/>
      <c r="P2" s="445"/>
      <c r="Q2" s="445"/>
      <c r="R2" s="445"/>
      <c r="S2" s="445"/>
      <c r="T2" s="445"/>
      <c r="U2" s="445"/>
      <c r="V2" s="446" t="s">
        <v>288</v>
      </c>
      <c r="W2" s="447">
        <v>1</v>
      </c>
      <c r="X2" s="445"/>
      <c r="Y2" s="445"/>
      <c r="Z2" s="445"/>
      <c r="AA2" s="445"/>
      <c r="AB2" s="445"/>
    </row>
    <row r="3" spans="1:28" ht="0" hidden="1" customHeight="1" x14ac:dyDescent="0.25">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row>
    <row r="4" spans="1:28" ht="12" customHeight="1" x14ac:dyDescent="0.25">
      <c r="A4" s="830" t="s">
        <v>289</v>
      </c>
      <c r="B4" s="828"/>
      <c r="C4" s="828"/>
      <c r="D4" s="828"/>
      <c r="E4" s="828"/>
      <c r="F4" s="445"/>
      <c r="G4" s="445"/>
      <c r="H4" s="445"/>
      <c r="I4" s="445"/>
      <c r="J4" s="445"/>
      <c r="K4" s="445"/>
      <c r="L4" s="445"/>
      <c r="M4" s="445"/>
      <c r="N4" s="445"/>
      <c r="O4" s="445"/>
      <c r="P4" s="445"/>
      <c r="Q4" s="445"/>
      <c r="R4" s="829" t="s">
        <v>290</v>
      </c>
      <c r="S4" s="828"/>
      <c r="T4" s="828"/>
      <c r="U4" s="828"/>
      <c r="V4" s="828"/>
      <c r="W4" s="828"/>
      <c r="X4" s="445"/>
      <c r="Y4" s="445"/>
      <c r="Z4" s="445"/>
      <c r="AA4" s="445"/>
      <c r="AB4" s="445"/>
    </row>
    <row r="5" spans="1:28" ht="9.1999999999999993" customHeight="1" x14ac:dyDescent="0.25">
      <c r="A5" s="44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row>
    <row r="6" spans="1:28" ht="12" customHeight="1" x14ac:dyDescent="0.25">
      <c r="A6" s="831" t="s">
        <v>291</v>
      </c>
      <c r="B6" s="828"/>
      <c r="C6" s="828"/>
      <c r="D6" s="828"/>
      <c r="E6" s="828"/>
      <c r="F6" s="828"/>
      <c r="G6" s="828"/>
      <c r="H6" s="828"/>
      <c r="I6" s="828"/>
      <c r="J6" s="445"/>
      <c r="K6" s="445"/>
      <c r="L6" s="445"/>
      <c r="M6" s="445"/>
      <c r="N6" s="445"/>
      <c r="O6" s="445"/>
      <c r="P6" s="445"/>
      <c r="Q6" s="445"/>
      <c r="R6" s="445"/>
      <c r="S6" s="445"/>
      <c r="T6" s="445"/>
      <c r="U6" s="445"/>
      <c r="V6" s="445"/>
      <c r="W6" s="445"/>
      <c r="X6" s="445"/>
      <c r="Y6" s="445"/>
      <c r="Z6" s="445"/>
      <c r="AA6" s="445"/>
      <c r="AB6" s="445"/>
    </row>
    <row r="7" spans="1:28" ht="15" customHeight="1" x14ac:dyDescent="0.25">
      <c r="A7" s="44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row>
    <row r="8" spans="1:28" ht="12" customHeight="1" x14ac:dyDescent="0.25">
      <c r="A8" s="831" t="s">
        <v>1946</v>
      </c>
      <c r="B8" s="828"/>
      <c r="C8" s="828"/>
      <c r="D8" s="828"/>
      <c r="E8" s="828"/>
      <c r="F8" s="828"/>
      <c r="G8" s="828"/>
      <c r="H8" s="828"/>
      <c r="I8" s="828"/>
      <c r="J8" s="828"/>
      <c r="K8" s="828"/>
      <c r="L8" s="828"/>
      <c r="M8" s="445"/>
      <c r="N8" s="445"/>
      <c r="O8" s="445"/>
      <c r="P8" s="445"/>
      <c r="Q8" s="445"/>
      <c r="R8" s="445"/>
      <c r="S8" s="445"/>
      <c r="T8" s="445"/>
      <c r="U8" s="445"/>
      <c r="V8" s="445"/>
      <c r="W8" s="445"/>
      <c r="X8" s="445"/>
      <c r="Y8" s="445"/>
      <c r="Z8" s="445"/>
      <c r="AA8" s="445"/>
      <c r="AB8" s="445"/>
    </row>
    <row r="9" spans="1:28" ht="12" customHeight="1" x14ac:dyDescent="0.25">
      <c r="A9" s="833" t="s">
        <v>293</v>
      </c>
      <c r="B9" s="828"/>
      <c r="C9" s="828"/>
      <c r="D9" s="828"/>
      <c r="E9" s="828"/>
      <c r="F9" s="828"/>
      <c r="G9" s="828"/>
      <c r="H9" s="828"/>
      <c r="I9" s="833" t="s">
        <v>293</v>
      </c>
      <c r="J9" s="828"/>
      <c r="K9" s="828"/>
      <c r="L9" s="828"/>
      <c r="M9" s="445"/>
      <c r="N9" s="445"/>
      <c r="O9" s="445"/>
      <c r="P9" s="445"/>
      <c r="Q9" s="445"/>
      <c r="R9" s="445"/>
      <c r="S9" s="445"/>
      <c r="T9" s="445"/>
      <c r="U9" s="445"/>
      <c r="V9" s="445"/>
      <c r="W9" s="445"/>
      <c r="X9" s="445"/>
      <c r="Y9" s="445"/>
      <c r="Z9" s="445"/>
      <c r="AA9" s="445"/>
      <c r="AB9" s="445"/>
    </row>
    <row r="10" spans="1:28" ht="0" hidden="1" customHeight="1" x14ac:dyDescent="0.25">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row>
    <row r="11" spans="1:28" ht="6" customHeight="1" x14ac:dyDescent="0.25">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row>
    <row r="12" spans="1:28" ht="2.25" customHeight="1" x14ac:dyDescent="0.25">
      <c r="A12" s="445"/>
      <c r="B12" s="445"/>
      <c r="C12" s="445"/>
      <c r="D12" s="445"/>
      <c r="E12" s="445"/>
      <c r="F12" s="445"/>
      <c r="G12" s="445"/>
      <c r="H12" s="832" t="s">
        <v>293</v>
      </c>
      <c r="I12" s="828"/>
      <c r="J12" s="828"/>
      <c r="K12" s="828"/>
      <c r="L12" s="828"/>
      <c r="M12" s="828"/>
      <c r="N12" s="828"/>
      <c r="O12" s="828"/>
      <c r="P12" s="828"/>
      <c r="Q12" s="828"/>
      <c r="R12" s="828"/>
      <c r="S12" s="828"/>
      <c r="T12" s="828"/>
      <c r="U12" s="828"/>
      <c r="V12" s="828"/>
      <c r="W12" s="828"/>
      <c r="X12" s="828"/>
      <c r="Y12" s="828"/>
      <c r="Z12" s="445"/>
      <c r="AA12" s="445"/>
      <c r="AB12" s="445"/>
    </row>
    <row r="13" spans="1:28" ht="19.5" x14ac:dyDescent="0.25">
      <c r="A13" s="448" t="s">
        <v>294</v>
      </c>
      <c r="B13" s="448" t="s">
        <v>295</v>
      </c>
      <c r="C13" s="448" t="s">
        <v>296</v>
      </c>
      <c r="D13" s="832" t="s">
        <v>185</v>
      </c>
      <c r="E13" s="828"/>
      <c r="F13" s="828"/>
      <c r="G13" s="448" t="s">
        <v>297</v>
      </c>
      <c r="H13" s="832" t="s">
        <v>298</v>
      </c>
      <c r="I13" s="828"/>
      <c r="J13" s="828"/>
      <c r="K13" s="448" t="s">
        <v>299</v>
      </c>
      <c r="L13" s="832" t="s">
        <v>300</v>
      </c>
      <c r="M13" s="828"/>
      <c r="N13" s="448" t="s">
        <v>301</v>
      </c>
      <c r="O13" s="448" t="s">
        <v>302</v>
      </c>
      <c r="P13" s="448" t="s">
        <v>303</v>
      </c>
      <c r="Q13" s="834" t="s">
        <v>304</v>
      </c>
      <c r="R13" s="828"/>
      <c r="S13" s="834" t="s">
        <v>305</v>
      </c>
      <c r="T13" s="828"/>
      <c r="U13" s="834" t="s">
        <v>306</v>
      </c>
      <c r="V13" s="828"/>
      <c r="W13" s="828"/>
      <c r="X13" s="828"/>
      <c r="Y13" s="828"/>
      <c r="Z13" s="445"/>
      <c r="AA13" s="445"/>
      <c r="AB13" s="445"/>
    </row>
    <row r="14" spans="1:28" ht="12" customHeight="1" x14ac:dyDescent="0.25">
      <c r="A14" s="832" t="s">
        <v>293</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445"/>
      <c r="AA14" s="445"/>
      <c r="AB14" s="445"/>
    </row>
    <row r="15" spans="1:28" ht="12" customHeight="1" x14ac:dyDescent="0.25">
      <c r="A15" s="831" t="s">
        <v>307</v>
      </c>
      <c r="B15" s="828"/>
      <c r="C15" s="449" t="s">
        <v>293</v>
      </c>
      <c r="D15" s="449" t="s">
        <v>328</v>
      </c>
      <c r="E15" s="831" t="s">
        <v>329</v>
      </c>
      <c r="F15" s="828"/>
      <c r="G15" s="828"/>
      <c r="H15" s="831" t="s">
        <v>293</v>
      </c>
      <c r="I15" s="828"/>
      <c r="J15" s="828"/>
      <c r="K15" s="828"/>
      <c r="L15" s="828"/>
      <c r="M15" s="828"/>
      <c r="N15" s="828"/>
      <c r="O15" s="828"/>
      <c r="P15" s="828"/>
      <c r="Q15" s="828"/>
      <c r="R15" s="828"/>
      <c r="S15" s="828"/>
      <c r="T15" s="828"/>
      <c r="U15" s="843">
        <v>0</v>
      </c>
      <c r="V15" s="828"/>
      <c r="W15" s="828"/>
      <c r="X15" s="828"/>
      <c r="Y15" s="828"/>
      <c r="Z15" s="445"/>
      <c r="AA15" s="445"/>
      <c r="AB15" s="445"/>
    </row>
    <row r="16" spans="1:28" s="491" customFormat="1" ht="18" x14ac:dyDescent="0.25">
      <c r="A16" s="451" t="s">
        <v>1947</v>
      </c>
      <c r="B16" s="452" t="s">
        <v>311</v>
      </c>
      <c r="C16" s="451" t="s">
        <v>1948</v>
      </c>
      <c r="D16" s="844" t="s">
        <v>1949</v>
      </c>
      <c r="E16" s="845"/>
      <c r="F16" s="845"/>
      <c r="G16" s="452" t="s">
        <v>1950</v>
      </c>
      <c r="H16" s="846" t="s">
        <v>1951</v>
      </c>
      <c r="I16" s="845"/>
      <c r="J16" s="845"/>
      <c r="K16" s="452" t="s">
        <v>316</v>
      </c>
      <c r="L16" s="846" t="s">
        <v>317</v>
      </c>
      <c r="M16" s="845"/>
      <c r="N16" s="452" t="s">
        <v>318</v>
      </c>
      <c r="O16" s="452" t="s">
        <v>293</v>
      </c>
      <c r="P16" s="452" t="s">
        <v>293</v>
      </c>
      <c r="Q16" s="847">
        <v>106.7</v>
      </c>
      <c r="R16" s="845"/>
      <c r="S16" s="847">
        <v>711.3</v>
      </c>
      <c r="T16" s="845"/>
      <c r="U16" s="848">
        <v>711.3</v>
      </c>
      <c r="V16" s="845"/>
      <c r="W16" s="845"/>
      <c r="X16" s="845"/>
      <c r="Y16" s="845"/>
      <c r="Z16" s="453"/>
      <c r="AA16" s="453"/>
      <c r="AB16" s="453" t="s">
        <v>472</v>
      </c>
    </row>
    <row r="17" spans="1:28" s="491" customFormat="1" ht="18" x14ac:dyDescent="0.25">
      <c r="A17" s="451" t="s">
        <v>1952</v>
      </c>
      <c r="B17" s="452" t="s">
        <v>325</v>
      </c>
      <c r="C17" s="451" t="s">
        <v>1953</v>
      </c>
      <c r="D17" s="844" t="s">
        <v>1954</v>
      </c>
      <c r="E17" s="845"/>
      <c r="F17" s="845"/>
      <c r="G17" s="452" t="s">
        <v>293</v>
      </c>
      <c r="H17" s="846" t="s">
        <v>293</v>
      </c>
      <c r="I17" s="845"/>
      <c r="J17" s="845"/>
      <c r="K17" s="452" t="s">
        <v>316</v>
      </c>
      <c r="L17" s="846" t="s">
        <v>317</v>
      </c>
      <c r="M17" s="845"/>
      <c r="N17" s="452" t="s">
        <v>318</v>
      </c>
      <c r="O17" s="452" t="s">
        <v>293</v>
      </c>
      <c r="P17" s="452" t="s">
        <v>293</v>
      </c>
      <c r="Q17" s="847">
        <v>78.260000000000005</v>
      </c>
      <c r="R17" s="845"/>
      <c r="S17" s="847">
        <v>521.74</v>
      </c>
      <c r="T17" s="845"/>
      <c r="U17" s="848">
        <v>1233.04</v>
      </c>
      <c r="V17" s="845"/>
      <c r="W17" s="845"/>
      <c r="X17" s="845"/>
      <c r="Y17" s="845"/>
      <c r="Z17" s="453"/>
      <c r="AA17" s="453"/>
      <c r="AB17" s="453" t="s">
        <v>472</v>
      </c>
    </row>
    <row r="18" spans="1:28" s="491" customFormat="1" ht="18" x14ac:dyDescent="0.25">
      <c r="A18" s="451" t="s">
        <v>1955</v>
      </c>
      <c r="B18" s="452" t="s">
        <v>325</v>
      </c>
      <c r="C18" s="451" t="s">
        <v>1956</v>
      </c>
      <c r="D18" s="844" t="s">
        <v>1957</v>
      </c>
      <c r="E18" s="845"/>
      <c r="F18" s="845"/>
      <c r="G18" s="452" t="s">
        <v>293</v>
      </c>
      <c r="H18" s="846" t="s">
        <v>293</v>
      </c>
      <c r="I18" s="845"/>
      <c r="J18" s="845"/>
      <c r="K18" s="452" t="s">
        <v>316</v>
      </c>
      <c r="L18" s="846" t="s">
        <v>317</v>
      </c>
      <c r="M18" s="845"/>
      <c r="N18" s="452" t="s">
        <v>318</v>
      </c>
      <c r="O18" s="452" t="s">
        <v>293</v>
      </c>
      <c r="P18" s="452" t="s">
        <v>293</v>
      </c>
      <c r="Q18" s="847">
        <v>32.61</v>
      </c>
      <c r="R18" s="845"/>
      <c r="S18" s="847">
        <v>217.39</v>
      </c>
      <c r="T18" s="845"/>
      <c r="U18" s="848">
        <v>1450.43</v>
      </c>
      <c r="V18" s="845"/>
      <c r="W18" s="845"/>
      <c r="X18" s="845"/>
      <c r="Y18" s="845"/>
      <c r="Z18" s="453"/>
      <c r="AA18" s="453"/>
      <c r="AB18" s="453" t="s">
        <v>472</v>
      </c>
    </row>
    <row r="19" spans="1:28" x14ac:dyDescent="0.25">
      <c r="A19" s="831" t="s">
        <v>293</v>
      </c>
      <c r="B19" s="828"/>
      <c r="C19" s="828"/>
      <c r="D19" s="828"/>
      <c r="E19" s="831" t="s">
        <v>329</v>
      </c>
      <c r="F19" s="828"/>
      <c r="G19" s="828"/>
      <c r="H19" s="831" t="s">
        <v>293</v>
      </c>
      <c r="I19" s="828"/>
      <c r="J19" s="828"/>
      <c r="K19" s="828"/>
      <c r="L19" s="828"/>
      <c r="M19" s="828"/>
      <c r="N19" s="449" t="s">
        <v>293</v>
      </c>
      <c r="O19" s="449" t="s">
        <v>293</v>
      </c>
      <c r="P19" s="449" t="s">
        <v>293</v>
      </c>
      <c r="Q19" s="843">
        <v>217.57</v>
      </c>
      <c r="R19" s="828"/>
      <c r="S19" s="843">
        <v>1450.43</v>
      </c>
      <c r="T19" s="828"/>
      <c r="U19" s="843">
        <v>1450.43</v>
      </c>
      <c r="V19" s="828"/>
      <c r="W19" s="828"/>
      <c r="X19" s="828"/>
      <c r="Y19" s="828"/>
      <c r="Z19" s="445"/>
      <c r="AA19" s="445"/>
      <c r="AB19" s="445"/>
    </row>
    <row r="20" spans="1:28" ht="24" customHeight="1" x14ac:dyDescent="0.25">
      <c r="A20" s="833" t="s">
        <v>293</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445"/>
      <c r="AA20" s="445"/>
      <c r="AB20" s="445"/>
    </row>
    <row r="21" spans="1:28" ht="12" customHeight="1" x14ac:dyDescent="0.25">
      <c r="A21" s="831" t="s">
        <v>307</v>
      </c>
      <c r="B21" s="828"/>
      <c r="C21" s="449" t="s">
        <v>293</v>
      </c>
      <c r="D21" s="449" t="s">
        <v>382</v>
      </c>
      <c r="E21" s="831" t="s">
        <v>383</v>
      </c>
      <c r="F21" s="828"/>
      <c r="G21" s="828"/>
      <c r="H21" s="831" t="s">
        <v>293</v>
      </c>
      <c r="I21" s="828"/>
      <c r="J21" s="828"/>
      <c r="K21" s="828"/>
      <c r="L21" s="828"/>
      <c r="M21" s="828"/>
      <c r="N21" s="828"/>
      <c r="O21" s="828"/>
      <c r="P21" s="828"/>
      <c r="Q21" s="828"/>
      <c r="R21" s="828"/>
      <c r="S21" s="828"/>
      <c r="T21" s="828"/>
      <c r="U21" s="843">
        <v>0</v>
      </c>
      <c r="V21" s="828"/>
      <c r="W21" s="828"/>
      <c r="X21" s="828"/>
      <c r="Y21" s="828"/>
      <c r="Z21" s="445"/>
      <c r="AA21" s="445"/>
      <c r="AB21" s="445"/>
    </row>
    <row r="22" spans="1:28" x14ac:dyDescent="0.25">
      <c r="A22" s="450" t="s">
        <v>1958</v>
      </c>
      <c r="B22" s="446" t="s">
        <v>325</v>
      </c>
      <c r="C22" s="450" t="s">
        <v>1959</v>
      </c>
      <c r="D22" s="840" t="s">
        <v>1960</v>
      </c>
      <c r="E22" s="828"/>
      <c r="F22" s="828"/>
      <c r="G22" s="446" t="s">
        <v>293</v>
      </c>
      <c r="H22" s="830" t="s">
        <v>293</v>
      </c>
      <c r="I22" s="828"/>
      <c r="J22" s="828"/>
      <c r="K22" s="446" t="s">
        <v>316</v>
      </c>
      <c r="L22" s="830" t="s">
        <v>317</v>
      </c>
      <c r="M22" s="828"/>
      <c r="N22" s="446" t="s">
        <v>318</v>
      </c>
      <c r="O22" s="446" t="s">
        <v>293</v>
      </c>
      <c r="P22" s="446" t="s">
        <v>293</v>
      </c>
      <c r="Q22" s="841">
        <v>0</v>
      </c>
      <c r="R22" s="828"/>
      <c r="S22" s="841">
        <v>52.5</v>
      </c>
      <c r="T22" s="828"/>
      <c r="U22" s="842">
        <v>52.5</v>
      </c>
      <c r="V22" s="828"/>
      <c r="W22" s="828"/>
      <c r="X22" s="828"/>
      <c r="Y22" s="828"/>
      <c r="Z22" s="445"/>
      <c r="AA22" s="445"/>
      <c r="AB22" s="445"/>
    </row>
    <row r="23" spans="1:28" x14ac:dyDescent="0.25">
      <c r="A23" s="450" t="s">
        <v>1961</v>
      </c>
      <c r="B23" s="446" t="s">
        <v>325</v>
      </c>
      <c r="C23" s="450" t="s">
        <v>1962</v>
      </c>
      <c r="D23" s="840" t="s">
        <v>1960</v>
      </c>
      <c r="E23" s="828"/>
      <c r="F23" s="828"/>
      <c r="G23" s="446" t="s">
        <v>293</v>
      </c>
      <c r="H23" s="830" t="s">
        <v>293</v>
      </c>
      <c r="I23" s="828"/>
      <c r="J23" s="828"/>
      <c r="K23" s="446" t="s">
        <v>316</v>
      </c>
      <c r="L23" s="830" t="s">
        <v>317</v>
      </c>
      <c r="M23" s="828"/>
      <c r="N23" s="446" t="s">
        <v>318</v>
      </c>
      <c r="O23" s="446" t="s">
        <v>293</v>
      </c>
      <c r="P23" s="446" t="s">
        <v>293</v>
      </c>
      <c r="Q23" s="841">
        <v>0</v>
      </c>
      <c r="R23" s="828"/>
      <c r="S23" s="841">
        <v>-52.5</v>
      </c>
      <c r="T23" s="828"/>
      <c r="U23" s="842">
        <v>0</v>
      </c>
      <c r="V23" s="828"/>
      <c r="W23" s="828"/>
      <c r="X23" s="828"/>
      <c r="Y23" s="828"/>
      <c r="Z23" s="445"/>
      <c r="AA23" s="445"/>
      <c r="AB23" s="445"/>
    </row>
    <row r="24" spans="1:28" x14ac:dyDescent="0.25">
      <c r="A24" s="831" t="s">
        <v>293</v>
      </c>
      <c r="B24" s="828"/>
      <c r="C24" s="828"/>
      <c r="D24" s="828"/>
      <c r="E24" s="831" t="s">
        <v>383</v>
      </c>
      <c r="F24" s="828"/>
      <c r="G24" s="828"/>
      <c r="H24" s="831" t="s">
        <v>293</v>
      </c>
      <c r="I24" s="828"/>
      <c r="J24" s="828"/>
      <c r="K24" s="828"/>
      <c r="L24" s="828"/>
      <c r="M24" s="828"/>
      <c r="N24" s="449" t="s">
        <v>293</v>
      </c>
      <c r="O24" s="449" t="s">
        <v>293</v>
      </c>
      <c r="P24" s="449" t="s">
        <v>293</v>
      </c>
      <c r="Q24" s="843">
        <v>0</v>
      </c>
      <c r="R24" s="828"/>
      <c r="S24" s="843">
        <v>0</v>
      </c>
      <c r="T24" s="828"/>
      <c r="U24" s="843">
        <v>0</v>
      </c>
      <c r="V24" s="828"/>
      <c r="W24" s="828"/>
      <c r="X24" s="828"/>
      <c r="Y24" s="828"/>
      <c r="Z24" s="445"/>
      <c r="AA24" s="445"/>
      <c r="AB24" s="445"/>
    </row>
    <row r="25" spans="1:28" ht="24" customHeight="1" x14ac:dyDescent="0.25">
      <c r="A25" s="833" t="s">
        <v>293</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445"/>
      <c r="AA25" s="445"/>
      <c r="AB25" s="445"/>
    </row>
    <row r="26" spans="1:28" ht="12" customHeight="1" x14ac:dyDescent="0.25">
      <c r="A26" s="831" t="s">
        <v>307</v>
      </c>
      <c r="B26" s="828"/>
      <c r="C26" s="449" t="s">
        <v>293</v>
      </c>
      <c r="D26" s="449" t="s">
        <v>501</v>
      </c>
      <c r="E26" s="831" t="s">
        <v>502</v>
      </c>
      <c r="F26" s="828"/>
      <c r="G26" s="828"/>
      <c r="H26" s="831" t="s">
        <v>293</v>
      </c>
      <c r="I26" s="828"/>
      <c r="J26" s="828"/>
      <c r="K26" s="828"/>
      <c r="L26" s="828"/>
      <c r="M26" s="828"/>
      <c r="N26" s="828"/>
      <c r="O26" s="828"/>
      <c r="P26" s="828"/>
      <c r="Q26" s="828"/>
      <c r="R26" s="828"/>
      <c r="S26" s="828"/>
      <c r="T26" s="828"/>
      <c r="U26" s="843">
        <v>0</v>
      </c>
      <c r="V26" s="828"/>
      <c r="W26" s="828"/>
      <c r="X26" s="828"/>
      <c r="Y26" s="828"/>
      <c r="Z26" s="445"/>
      <c r="AA26" s="445"/>
      <c r="AB26" s="445"/>
    </row>
    <row r="27" spans="1:28" s="491" customFormat="1" ht="18" x14ac:dyDescent="0.25">
      <c r="A27" s="451" t="s">
        <v>1963</v>
      </c>
      <c r="B27" s="452" t="s">
        <v>311</v>
      </c>
      <c r="C27" s="451" t="s">
        <v>1964</v>
      </c>
      <c r="D27" s="844" t="s">
        <v>1965</v>
      </c>
      <c r="E27" s="845"/>
      <c r="F27" s="845"/>
      <c r="G27" s="452" t="s">
        <v>505</v>
      </c>
      <c r="H27" s="846" t="s">
        <v>1966</v>
      </c>
      <c r="I27" s="845"/>
      <c r="J27" s="845"/>
      <c r="K27" s="452" t="s">
        <v>316</v>
      </c>
      <c r="L27" s="846" t="s">
        <v>317</v>
      </c>
      <c r="M27" s="845"/>
      <c r="N27" s="452" t="s">
        <v>318</v>
      </c>
      <c r="O27" s="452" t="s">
        <v>293</v>
      </c>
      <c r="P27" s="452" t="s">
        <v>293</v>
      </c>
      <c r="Q27" s="847">
        <v>53.14</v>
      </c>
      <c r="R27" s="845"/>
      <c r="S27" s="847">
        <v>354.24</v>
      </c>
      <c r="T27" s="845"/>
      <c r="U27" s="848">
        <v>354.24</v>
      </c>
      <c r="V27" s="845"/>
      <c r="W27" s="845"/>
      <c r="X27" s="845"/>
      <c r="Y27" s="845"/>
      <c r="Z27" s="453"/>
      <c r="AA27" s="453"/>
      <c r="AB27" s="453" t="s">
        <v>563</v>
      </c>
    </row>
    <row r="28" spans="1:28" s="491" customFormat="1" ht="18" x14ac:dyDescent="0.25">
      <c r="A28" s="451" t="s">
        <v>1963</v>
      </c>
      <c r="B28" s="452" t="s">
        <v>311</v>
      </c>
      <c r="C28" s="451" t="s">
        <v>1964</v>
      </c>
      <c r="D28" s="844" t="s">
        <v>1967</v>
      </c>
      <c r="E28" s="845"/>
      <c r="F28" s="845"/>
      <c r="G28" s="452" t="s">
        <v>505</v>
      </c>
      <c r="H28" s="846" t="s">
        <v>1966</v>
      </c>
      <c r="I28" s="845"/>
      <c r="J28" s="845"/>
      <c r="K28" s="452" t="s">
        <v>316</v>
      </c>
      <c r="L28" s="846" t="s">
        <v>317</v>
      </c>
      <c r="M28" s="845"/>
      <c r="N28" s="452" t="s">
        <v>318</v>
      </c>
      <c r="O28" s="452" t="s">
        <v>293</v>
      </c>
      <c r="P28" s="452" t="s">
        <v>293</v>
      </c>
      <c r="Q28" s="847">
        <v>65.92</v>
      </c>
      <c r="R28" s="845"/>
      <c r="S28" s="847">
        <v>439.43</v>
      </c>
      <c r="T28" s="845"/>
      <c r="U28" s="848">
        <v>793.67</v>
      </c>
      <c r="V28" s="845"/>
      <c r="W28" s="845"/>
      <c r="X28" s="845"/>
      <c r="Y28" s="845"/>
      <c r="Z28" s="453"/>
      <c r="AA28" s="453"/>
      <c r="AB28" s="453" t="s">
        <v>563</v>
      </c>
    </row>
    <row r="29" spans="1:28" s="491" customFormat="1" ht="18" x14ac:dyDescent="0.25">
      <c r="A29" s="451" t="s">
        <v>1963</v>
      </c>
      <c r="B29" s="452" t="s">
        <v>311</v>
      </c>
      <c r="C29" s="451" t="s">
        <v>1964</v>
      </c>
      <c r="D29" s="844" t="s">
        <v>1968</v>
      </c>
      <c r="E29" s="845"/>
      <c r="F29" s="845"/>
      <c r="G29" s="452" t="s">
        <v>505</v>
      </c>
      <c r="H29" s="846" t="s">
        <v>1966</v>
      </c>
      <c r="I29" s="845"/>
      <c r="J29" s="845"/>
      <c r="K29" s="452" t="s">
        <v>316</v>
      </c>
      <c r="L29" s="846" t="s">
        <v>317</v>
      </c>
      <c r="M29" s="845"/>
      <c r="N29" s="452" t="s">
        <v>318</v>
      </c>
      <c r="O29" s="452" t="s">
        <v>293</v>
      </c>
      <c r="P29" s="452" t="s">
        <v>293</v>
      </c>
      <c r="Q29" s="847">
        <v>46.69</v>
      </c>
      <c r="R29" s="845"/>
      <c r="S29" s="847">
        <v>311.23</v>
      </c>
      <c r="T29" s="845"/>
      <c r="U29" s="848">
        <v>1104.9000000000001</v>
      </c>
      <c r="V29" s="845"/>
      <c r="W29" s="845"/>
      <c r="X29" s="845"/>
      <c r="Y29" s="845"/>
      <c r="Z29" s="453"/>
      <c r="AA29" s="453"/>
      <c r="AB29" s="453" t="s">
        <v>563</v>
      </c>
    </row>
    <row r="30" spans="1:28" x14ac:dyDescent="0.25">
      <c r="A30" s="450" t="s">
        <v>1958</v>
      </c>
      <c r="B30" s="446" t="s">
        <v>325</v>
      </c>
      <c r="C30" s="450" t="s">
        <v>1959</v>
      </c>
      <c r="D30" s="840" t="s">
        <v>1960</v>
      </c>
      <c r="E30" s="828"/>
      <c r="F30" s="828"/>
      <c r="G30" s="446" t="s">
        <v>293</v>
      </c>
      <c r="H30" s="830" t="s">
        <v>293</v>
      </c>
      <c r="I30" s="828"/>
      <c r="J30" s="828"/>
      <c r="K30" s="446" t="s">
        <v>316</v>
      </c>
      <c r="L30" s="830" t="s">
        <v>317</v>
      </c>
      <c r="M30" s="828"/>
      <c r="N30" s="446" t="s">
        <v>318</v>
      </c>
      <c r="O30" s="446" t="s">
        <v>293</v>
      </c>
      <c r="P30" s="446" t="s">
        <v>293</v>
      </c>
      <c r="Q30" s="841">
        <v>0</v>
      </c>
      <c r="R30" s="828"/>
      <c r="S30" s="841">
        <v>-614.41</v>
      </c>
      <c r="T30" s="828"/>
      <c r="U30" s="842">
        <v>490.49</v>
      </c>
      <c r="V30" s="828"/>
      <c r="W30" s="828"/>
      <c r="X30" s="828"/>
      <c r="Y30" s="828"/>
      <c r="Z30" s="445"/>
      <c r="AA30" s="445"/>
      <c r="AB30" s="445"/>
    </row>
    <row r="31" spans="1:28" x14ac:dyDescent="0.25">
      <c r="A31" s="450" t="s">
        <v>1961</v>
      </c>
      <c r="B31" s="446" t="s">
        <v>325</v>
      </c>
      <c r="C31" s="450" t="s">
        <v>1962</v>
      </c>
      <c r="D31" s="840" t="s">
        <v>1960</v>
      </c>
      <c r="E31" s="828"/>
      <c r="F31" s="828"/>
      <c r="G31" s="446" t="s">
        <v>293</v>
      </c>
      <c r="H31" s="830" t="s">
        <v>293</v>
      </c>
      <c r="I31" s="828"/>
      <c r="J31" s="828"/>
      <c r="K31" s="446" t="s">
        <v>316</v>
      </c>
      <c r="L31" s="830" t="s">
        <v>317</v>
      </c>
      <c r="M31" s="828"/>
      <c r="N31" s="446" t="s">
        <v>318</v>
      </c>
      <c r="O31" s="446" t="s">
        <v>293</v>
      </c>
      <c r="P31" s="446" t="s">
        <v>293</v>
      </c>
      <c r="Q31" s="841">
        <v>0</v>
      </c>
      <c r="R31" s="828"/>
      <c r="S31" s="841">
        <v>614.41</v>
      </c>
      <c r="T31" s="828"/>
      <c r="U31" s="842">
        <v>1104.9000000000001</v>
      </c>
      <c r="V31" s="828"/>
      <c r="W31" s="828"/>
      <c r="X31" s="828"/>
      <c r="Y31" s="828"/>
      <c r="Z31" s="445"/>
      <c r="AA31" s="445"/>
      <c r="AB31" s="445"/>
    </row>
    <row r="32" spans="1:28" s="491" customFormat="1" ht="18" x14ac:dyDescent="0.25">
      <c r="A32" s="451" t="s">
        <v>1961</v>
      </c>
      <c r="B32" s="452" t="s">
        <v>311</v>
      </c>
      <c r="C32" s="451" t="s">
        <v>1969</v>
      </c>
      <c r="D32" s="844" t="s">
        <v>1970</v>
      </c>
      <c r="E32" s="845"/>
      <c r="F32" s="845"/>
      <c r="G32" s="452" t="s">
        <v>505</v>
      </c>
      <c r="H32" s="846" t="s">
        <v>1971</v>
      </c>
      <c r="I32" s="845"/>
      <c r="J32" s="845"/>
      <c r="K32" s="452" t="s">
        <v>316</v>
      </c>
      <c r="L32" s="846" t="s">
        <v>317</v>
      </c>
      <c r="M32" s="845"/>
      <c r="N32" s="452" t="s">
        <v>318</v>
      </c>
      <c r="O32" s="452" t="s">
        <v>293</v>
      </c>
      <c r="P32" s="452" t="s">
        <v>293</v>
      </c>
      <c r="Q32" s="847">
        <v>8.86</v>
      </c>
      <c r="R32" s="845"/>
      <c r="S32" s="847">
        <v>59.04</v>
      </c>
      <c r="T32" s="845"/>
      <c r="U32" s="848">
        <v>1163.94</v>
      </c>
      <c r="V32" s="845"/>
      <c r="W32" s="845"/>
      <c r="X32" s="845"/>
      <c r="Y32" s="845"/>
      <c r="Z32" s="453"/>
      <c r="AA32" s="453"/>
      <c r="AB32" s="453" t="s">
        <v>563</v>
      </c>
    </row>
    <row r="33" spans="1:28" ht="18" x14ac:dyDescent="0.25">
      <c r="A33" s="450" t="s">
        <v>1961</v>
      </c>
      <c r="B33" s="446" t="s">
        <v>311</v>
      </c>
      <c r="C33" s="450" t="s">
        <v>1969</v>
      </c>
      <c r="D33" s="840" t="s">
        <v>1972</v>
      </c>
      <c r="E33" s="828"/>
      <c r="F33" s="828"/>
      <c r="G33" s="446" t="s">
        <v>505</v>
      </c>
      <c r="H33" s="830" t="s">
        <v>1971</v>
      </c>
      <c r="I33" s="828"/>
      <c r="J33" s="828"/>
      <c r="K33" s="446" t="s">
        <v>316</v>
      </c>
      <c r="L33" s="830" t="s">
        <v>317</v>
      </c>
      <c r="M33" s="828"/>
      <c r="N33" s="446" t="s">
        <v>318</v>
      </c>
      <c r="O33" s="446" t="s">
        <v>293</v>
      </c>
      <c r="P33" s="446" t="s">
        <v>293</v>
      </c>
      <c r="Q33" s="841">
        <v>-22.14</v>
      </c>
      <c r="R33" s="828"/>
      <c r="S33" s="841">
        <v>-147.6</v>
      </c>
      <c r="T33" s="828"/>
      <c r="U33" s="842">
        <v>1016.34</v>
      </c>
      <c r="V33" s="828"/>
      <c r="W33" s="828"/>
      <c r="X33" s="828"/>
      <c r="Y33" s="828"/>
      <c r="Z33" s="445"/>
      <c r="AA33" s="445"/>
      <c r="AB33" s="445"/>
    </row>
    <row r="34" spans="1:28" ht="18" x14ac:dyDescent="0.25">
      <c r="A34" s="450" t="s">
        <v>1961</v>
      </c>
      <c r="B34" s="446" t="s">
        <v>311</v>
      </c>
      <c r="C34" s="450" t="s">
        <v>1969</v>
      </c>
      <c r="D34" s="840" t="s">
        <v>1972</v>
      </c>
      <c r="E34" s="828"/>
      <c r="F34" s="828"/>
      <c r="G34" s="446" t="s">
        <v>505</v>
      </c>
      <c r="H34" s="830" t="s">
        <v>1971</v>
      </c>
      <c r="I34" s="828"/>
      <c r="J34" s="828"/>
      <c r="K34" s="446" t="s">
        <v>316</v>
      </c>
      <c r="L34" s="830" t="s">
        <v>317</v>
      </c>
      <c r="M34" s="828"/>
      <c r="N34" s="446" t="s">
        <v>318</v>
      </c>
      <c r="O34" s="446" t="s">
        <v>293</v>
      </c>
      <c r="P34" s="446" t="s">
        <v>293</v>
      </c>
      <c r="Q34" s="841">
        <v>-23.41</v>
      </c>
      <c r="R34" s="828"/>
      <c r="S34" s="841">
        <v>-156.04</v>
      </c>
      <c r="T34" s="828"/>
      <c r="U34" s="842">
        <v>860.3</v>
      </c>
      <c r="V34" s="828"/>
      <c r="W34" s="828"/>
      <c r="X34" s="828"/>
      <c r="Y34" s="828"/>
      <c r="Z34" s="445"/>
      <c r="AA34" s="445"/>
      <c r="AB34" s="445"/>
    </row>
    <row r="35" spans="1:28" s="491" customFormat="1" ht="18" x14ac:dyDescent="0.25">
      <c r="A35" s="451" t="s">
        <v>1973</v>
      </c>
      <c r="B35" s="452" t="s">
        <v>751</v>
      </c>
      <c r="C35" s="451" t="s">
        <v>1974</v>
      </c>
      <c r="D35" s="844" t="s">
        <v>1970</v>
      </c>
      <c r="E35" s="845"/>
      <c r="F35" s="845"/>
      <c r="G35" s="452" t="s">
        <v>505</v>
      </c>
      <c r="H35" s="846" t="s">
        <v>1975</v>
      </c>
      <c r="I35" s="845"/>
      <c r="J35" s="845"/>
      <c r="K35" s="452" t="s">
        <v>316</v>
      </c>
      <c r="L35" s="846" t="s">
        <v>317</v>
      </c>
      <c r="M35" s="845"/>
      <c r="N35" s="452" t="s">
        <v>318</v>
      </c>
      <c r="O35" s="452" t="s">
        <v>293</v>
      </c>
      <c r="P35" s="452" t="s">
        <v>293</v>
      </c>
      <c r="Q35" s="847">
        <v>-61.99</v>
      </c>
      <c r="R35" s="845"/>
      <c r="S35" s="847">
        <v>-413.28</v>
      </c>
      <c r="T35" s="845"/>
      <c r="U35" s="848">
        <v>447.02</v>
      </c>
      <c r="V35" s="845"/>
      <c r="W35" s="845"/>
      <c r="X35" s="845"/>
      <c r="Y35" s="845"/>
      <c r="Z35" s="453"/>
      <c r="AA35" s="453"/>
      <c r="AB35" s="453" t="s">
        <v>563</v>
      </c>
    </row>
    <row r="36" spans="1:28" s="491" customFormat="1" ht="18" x14ac:dyDescent="0.25">
      <c r="A36" s="451" t="s">
        <v>1973</v>
      </c>
      <c r="B36" s="452" t="s">
        <v>311</v>
      </c>
      <c r="C36" s="451" t="s">
        <v>1976</v>
      </c>
      <c r="D36" s="844" t="s">
        <v>1977</v>
      </c>
      <c r="E36" s="845"/>
      <c r="F36" s="845"/>
      <c r="G36" s="452" t="s">
        <v>505</v>
      </c>
      <c r="H36" s="846" t="s">
        <v>1978</v>
      </c>
      <c r="I36" s="845"/>
      <c r="J36" s="845"/>
      <c r="K36" s="452" t="s">
        <v>316</v>
      </c>
      <c r="L36" s="846" t="s">
        <v>317</v>
      </c>
      <c r="M36" s="845"/>
      <c r="N36" s="452" t="s">
        <v>318</v>
      </c>
      <c r="O36" s="452" t="s">
        <v>293</v>
      </c>
      <c r="P36" s="452" t="s">
        <v>293</v>
      </c>
      <c r="Q36" s="847">
        <v>45.63</v>
      </c>
      <c r="R36" s="845"/>
      <c r="S36" s="847">
        <v>304.19</v>
      </c>
      <c r="T36" s="845"/>
      <c r="U36" s="848">
        <v>751.21</v>
      </c>
      <c r="V36" s="845"/>
      <c r="W36" s="845"/>
      <c r="X36" s="845"/>
      <c r="Y36" s="845"/>
      <c r="Z36" s="453"/>
      <c r="AA36" s="453"/>
      <c r="AB36" s="453" t="s">
        <v>563</v>
      </c>
    </row>
    <row r="37" spans="1:28" x14ac:dyDescent="0.25">
      <c r="A37" s="831" t="s">
        <v>293</v>
      </c>
      <c r="B37" s="828"/>
      <c r="C37" s="828"/>
      <c r="D37" s="828"/>
      <c r="E37" s="831" t="s">
        <v>502</v>
      </c>
      <c r="F37" s="828"/>
      <c r="G37" s="828"/>
      <c r="H37" s="831" t="s">
        <v>293</v>
      </c>
      <c r="I37" s="828"/>
      <c r="J37" s="828"/>
      <c r="K37" s="828"/>
      <c r="L37" s="828"/>
      <c r="M37" s="828"/>
      <c r="N37" s="449" t="s">
        <v>293</v>
      </c>
      <c r="O37" s="449" t="s">
        <v>293</v>
      </c>
      <c r="P37" s="449" t="s">
        <v>293</v>
      </c>
      <c r="Q37" s="843">
        <v>112.7</v>
      </c>
      <c r="R37" s="828"/>
      <c r="S37" s="843">
        <v>751.21</v>
      </c>
      <c r="T37" s="828"/>
      <c r="U37" s="843">
        <v>751.21</v>
      </c>
      <c r="V37" s="828"/>
      <c r="W37" s="828"/>
      <c r="X37" s="828"/>
      <c r="Y37" s="828"/>
      <c r="Z37" s="445"/>
      <c r="AA37" s="445"/>
      <c r="AB37" s="445"/>
    </row>
    <row r="38" spans="1:28" ht="24" customHeight="1" x14ac:dyDescent="0.25">
      <c r="A38" s="833" t="s">
        <v>293</v>
      </c>
      <c r="B38" s="828"/>
      <c r="C38" s="828"/>
      <c r="D38" s="828"/>
      <c r="E38" s="828"/>
      <c r="F38" s="828"/>
      <c r="G38" s="828"/>
      <c r="H38" s="828"/>
      <c r="I38" s="828"/>
      <c r="J38" s="828"/>
      <c r="K38" s="828"/>
      <c r="L38" s="828"/>
      <c r="M38" s="828"/>
      <c r="N38" s="828"/>
      <c r="O38" s="828"/>
      <c r="P38" s="828"/>
      <c r="Q38" s="828"/>
      <c r="R38" s="828"/>
      <c r="S38" s="828"/>
      <c r="T38" s="828"/>
      <c r="U38" s="828"/>
      <c r="V38" s="828"/>
      <c r="W38" s="828"/>
      <c r="X38" s="828"/>
      <c r="Y38" s="828"/>
      <c r="Z38" s="445"/>
      <c r="AA38" s="445"/>
      <c r="AB38" s="445"/>
    </row>
    <row r="39" spans="1:28" ht="12" customHeight="1" x14ac:dyDescent="0.25">
      <c r="A39" s="831" t="s">
        <v>307</v>
      </c>
      <c r="B39" s="828"/>
      <c r="C39" s="449" t="s">
        <v>293</v>
      </c>
      <c r="D39" s="449" t="s">
        <v>386</v>
      </c>
      <c r="E39" s="831" t="s">
        <v>387</v>
      </c>
      <c r="F39" s="828"/>
      <c r="G39" s="828"/>
      <c r="H39" s="831" t="s">
        <v>293</v>
      </c>
      <c r="I39" s="828"/>
      <c r="J39" s="828"/>
      <c r="K39" s="828"/>
      <c r="L39" s="828"/>
      <c r="M39" s="828"/>
      <c r="N39" s="828"/>
      <c r="O39" s="828"/>
      <c r="P39" s="828"/>
      <c r="Q39" s="828"/>
      <c r="R39" s="828"/>
      <c r="S39" s="828"/>
      <c r="T39" s="828"/>
      <c r="U39" s="843">
        <v>0</v>
      </c>
      <c r="V39" s="828"/>
      <c r="W39" s="828"/>
      <c r="X39" s="828"/>
      <c r="Y39" s="828"/>
      <c r="Z39" s="445"/>
      <c r="AA39" s="445"/>
      <c r="AB39" s="445"/>
    </row>
    <row r="40" spans="1:28" s="491" customFormat="1" ht="18" x14ac:dyDescent="0.25">
      <c r="A40" s="451" t="s">
        <v>1979</v>
      </c>
      <c r="B40" s="452" t="s">
        <v>325</v>
      </c>
      <c r="C40" s="451" t="s">
        <v>1980</v>
      </c>
      <c r="D40" s="844" t="s">
        <v>1981</v>
      </c>
      <c r="E40" s="845"/>
      <c r="F40" s="845"/>
      <c r="G40" s="452" t="s">
        <v>293</v>
      </c>
      <c r="H40" s="846" t="s">
        <v>293</v>
      </c>
      <c r="I40" s="845"/>
      <c r="J40" s="845"/>
      <c r="K40" s="452" t="s">
        <v>316</v>
      </c>
      <c r="L40" s="846" t="s">
        <v>317</v>
      </c>
      <c r="M40" s="845"/>
      <c r="N40" s="452" t="s">
        <v>318</v>
      </c>
      <c r="O40" s="452" t="s">
        <v>293</v>
      </c>
      <c r="P40" s="452" t="s">
        <v>293</v>
      </c>
      <c r="Q40" s="847">
        <v>1.17</v>
      </c>
      <c r="R40" s="845"/>
      <c r="S40" s="847">
        <v>7.83</v>
      </c>
      <c r="T40" s="845"/>
      <c r="U40" s="848">
        <v>7.83</v>
      </c>
      <c r="V40" s="845"/>
      <c r="W40" s="845"/>
      <c r="X40" s="845"/>
      <c r="Y40" s="845"/>
      <c r="Z40" s="453"/>
      <c r="AA40" s="453"/>
      <c r="AB40" s="453" t="s">
        <v>1982</v>
      </c>
    </row>
    <row r="41" spans="1:28" s="491" customFormat="1" ht="18" x14ac:dyDescent="0.25">
      <c r="A41" s="451" t="s">
        <v>1983</v>
      </c>
      <c r="B41" s="452" t="s">
        <v>325</v>
      </c>
      <c r="C41" s="451" t="s">
        <v>1984</v>
      </c>
      <c r="D41" s="844" t="s">
        <v>1985</v>
      </c>
      <c r="E41" s="845"/>
      <c r="F41" s="845"/>
      <c r="G41" s="452" t="s">
        <v>293</v>
      </c>
      <c r="H41" s="846" t="s">
        <v>293</v>
      </c>
      <c r="I41" s="845"/>
      <c r="J41" s="845"/>
      <c r="K41" s="452" t="s">
        <v>316</v>
      </c>
      <c r="L41" s="846" t="s">
        <v>317</v>
      </c>
      <c r="M41" s="845"/>
      <c r="N41" s="452" t="s">
        <v>318</v>
      </c>
      <c r="O41" s="452" t="s">
        <v>293</v>
      </c>
      <c r="P41" s="452" t="s">
        <v>293</v>
      </c>
      <c r="Q41" s="847">
        <v>4.88</v>
      </c>
      <c r="R41" s="845"/>
      <c r="S41" s="847">
        <v>32.53</v>
      </c>
      <c r="T41" s="845"/>
      <c r="U41" s="848">
        <v>40.36</v>
      </c>
      <c r="V41" s="845"/>
      <c r="W41" s="845"/>
      <c r="X41" s="845"/>
      <c r="Y41" s="845"/>
      <c r="Z41" s="453"/>
      <c r="AA41" s="453"/>
      <c r="AB41" s="453" t="s">
        <v>563</v>
      </c>
    </row>
    <row r="42" spans="1:28" s="491" customFormat="1" ht="18" x14ac:dyDescent="0.25">
      <c r="A42" s="451" t="s">
        <v>1986</v>
      </c>
      <c r="B42" s="452" t="s">
        <v>325</v>
      </c>
      <c r="C42" s="451" t="s">
        <v>1987</v>
      </c>
      <c r="D42" s="844" t="s">
        <v>1988</v>
      </c>
      <c r="E42" s="845"/>
      <c r="F42" s="845"/>
      <c r="G42" s="452" t="s">
        <v>293</v>
      </c>
      <c r="H42" s="846" t="s">
        <v>293</v>
      </c>
      <c r="I42" s="845"/>
      <c r="J42" s="845"/>
      <c r="K42" s="452" t="s">
        <v>316</v>
      </c>
      <c r="L42" s="846" t="s">
        <v>317</v>
      </c>
      <c r="M42" s="845"/>
      <c r="N42" s="452" t="s">
        <v>318</v>
      </c>
      <c r="O42" s="452" t="s">
        <v>293</v>
      </c>
      <c r="P42" s="452" t="s">
        <v>293</v>
      </c>
      <c r="Q42" s="847">
        <v>1.53</v>
      </c>
      <c r="R42" s="845"/>
      <c r="S42" s="847">
        <v>10.23</v>
      </c>
      <c r="T42" s="845"/>
      <c r="U42" s="848">
        <v>50.59</v>
      </c>
      <c r="V42" s="845"/>
      <c r="W42" s="845"/>
      <c r="X42" s="845"/>
      <c r="Y42" s="845"/>
      <c r="Z42" s="453"/>
      <c r="AA42" s="453"/>
      <c r="AB42" s="453" t="s">
        <v>563</v>
      </c>
    </row>
    <row r="43" spans="1:28" x14ac:dyDescent="0.25">
      <c r="A43" s="450" t="s">
        <v>1989</v>
      </c>
      <c r="B43" s="446" t="s">
        <v>311</v>
      </c>
      <c r="C43" s="450" t="s">
        <v>1990</v>
      </c>
      <c r="D43" s="840" t="s">
        <v>1991</v>
      </c>
      <c r="E43" s="828"/>
      <c r="F43" s="828"/>
      <c r="G43" s="446" t="s">
        <v>1536</v>
      </c>
      <c r="H43" s="830" t="s">
        <v>1992</v>
      </c>
      <c r="I43" s="828"/>
      <c r="J43" s="828"/>
      <c r="K43" s="446" t="s">
        <v>316</v>
      </c>
      <c r="L43" s="830" t="s">
        <v>317</v>
      </c>
      <c r="M43" s="828"/>
      <c r="N43" s="446" t="s">
        <v>318</v>
      </c>
      <c r="O43" s="446" t="s">
        <v>293</v>
      </c>
      <c r="P43" s="446" t="s">
        <v>293</v>
      </c>
      <c r="Q43" s="841">
        <v>28.7</v>
      </c>
      <c r="R43" s="828"/>
      <c r="S43" s="841">
        <v>191.3</v>
      </c>
      <c r="T43" s="828"/>
      <c r="U43" s="842">
        <v>241.89</v>
      </c>
      <c r="V43" s="828"/>
      <c r="W43" s="828"/>
      <c r="X43" s="828"/>
      <c r="Y43" s="828"/>
      <c r="Z43" s="445"/>
      <c r="AA43" s="445"/>
      <c r="AB43" s="445"/>
    </row>
    <row r="44" spans="1:28" s="491" customFormat="1" ht="18" x14ac:dyDescent="0.25">
      <c r="A44" s="451" t="s">
        <v>1963</v>
      </c>
      <c r="B44" s="452" t="s">
        <v>325</v>
      </c>
      <c r="C44" s="451" t="s">
        <v>1993</v>
      </c>
      <c r="D44" s="844" t="s">
        <v>1994</v>
      </c>
      <c r="E44" s="845"/>
      <c r="F44" s="845"/>
      <c r="G44" s="452" t="s">
        <v>293</v>
      </c>
      <c r="H44" s="846" t="s">
        <v>293</v>
      </c>
      <c r="I44" s="845"/>
      <c r="J44" s="845"/>
      <c r="K44" s="452" t="s">
        <v>316</v>
      </c>
      <c r="L44" s="846" t="s">
        <v>317</v>
      </c>
      <c r="M44" s="845"/>
      <c r="N44" s="452" t="s">
        <v>318</v>
      </c>
      <c r="O44" s="452" t="s">
        <v>293</v>
      </c>
      <c r="P44" s="452" t="s">
        <v>293</v>
      </c>
      <c r="Q44" s="847">
        <v>6.39</v>
      </c>
      <c r="R44" s="845"/>
      <c r="S44" s="847">
        <v>42.61</v>
      </c>
      <c r="T44" s="845"/>
      <c r="U44" s="848">
        <v>284.5</v>
      </c>
      <c r="V44" s="845"/>
      <c r="W44" s="845"/>
      <c r="X44" s="845"/>
      <c r="Y44" s="845"/>
      <c r="Z44" s="453"/>
      <c r="AA44" s="453"/>
      <c r="AB44" s="453" t="s">
        <v>848</v>
      </c>
    </row>
    <row r="45" spans="1:28" ht="18" x14ac:dyDescent="0.25">
      <c r="A45" s="450" t="s">
        <v>1963</v>
      </c>
      <c r="B45" s="446" t="s">
        <v>311</v>
      </c>
      <c r="C45" s="450" t="s">
        <v>1964</v>
      </c>
      <c r="D45" s="840" t="s">
        <v>1995</v>
      </c>
      <c r="E45" s="828"/>
      <c r="F45" s="828"/>
      <c r="G45" s="446" t="s">
        <v>505</v>
      </c>
      <c r="H45" s="830" t="s">
        <v>1966</v>
      </c>
      <c r="I45" s="828"/>
      <c r="J45" s="828"/>
      <c r="K45" s="446" t="s">
        <v>316</v>
      </c>
      <c r="L45" s="830" t="s">
        <v>317</v>
      </c>
      <c r="M45" s="828"/>
      <c r="N45" s="446" t="s">
        <v>318</v>
      </c>
      <c r="O45" s="446" t="s">
        <v>293</v>
      </c>
      <c r="P45" s="446" t="s">
        <v>293</v>
      </c>
      <c r="Q45" s="841">
        <v>27.4</v>
      </c>
      <c r="R45" s="828"/>
      <c r="S45" s="841">
        <v>182.7</v>
      </c>
      <c r="T45" s="828"/>
      <c r="U45" s="842">
        <v>467.2</v>
      </c>
      <c r="V45" s="828"/>
      <c r="W45" s="828"/>
      <c r="X45" s="828"/>
      <c r="Y45" s="828"/>
      <c r="Z45" s="445"/>
      <c r="AA45" s="445"/>
      <c r="AB45" s="445"/>
    </row>
    <row r="46" spans="1:28" ht="18" x14ac:dyDescent="0.25">
      <c r="A46" s="450" t="s">
        <v>1963</v>
      </c>
      <c r="B46" s="446" t="s">
        <v>311</v>
      </c>
      <c r="C46" s="450" t="s">
        <v>1964</v>
      </c>
      <c r="D46" s="840" t="s">
        <v>1996</v>
      </c>
      <c r="E46" s="828"/>
      <c r="F46" s="828"/>
      <c r="G46" s="446" t="s">
        <v>505</v>
      </c>
      <c r="H46" s="830" t="s">
        <v>1966</v>
      </c>
      <c r="I46" s="828"/>
      <c r="J46" s="828"/>
      <c r="K46" s="446" t="s">
        <v>316</v>
      </c>
      <c r="L46" s="830" t="s">
        <v>317</v>
      </c>
      <c r="M46" s="828"/>
      <c r="N46" s="446" t="s">
        <v>318</v>
      </c>
      <c r="O46" s="446" t="s">
        <v>293</v>
      </c>
      <c r="P46" s="446" t="s">
        <v>293</v>
      </c>
      <c r="Q46" s="841">
        <v>24.78</v>
      </c>
      <c r="R46" s="828"/>
      <c r="S46" s="841">
        <v>165.22</v>
      </c>
      <c r="T46" s="828"/>
      <c r="U46" s="842">
        <v>632.41999999999996</v>
      </c>
      <c r="V46" s="828"/>
      <c r="W46" s="828"/>
      <c r="X46" s="828"/>
      <c r="Y46" s="828"/>
      <c r="Z46" s="445"/>
      <c r="AA46" s="445"/>
      <c r="AB46" s="445"/>
    </row>
    <row r="47" spans="1:28" x14ac:dyDescent="0.25">
      <c r="A47" s="831" t="s">
        <v>293</v>
      </c>
      <c r="B47" s="828"/>
      <c r="C47" s="828"/>
      <c r="D47" s="828"/>
      <c r="E47" s="831" t="s">
        <v>387</v>
      </c>
      <c r="F47" s="828"/>
      <c r="G47" s="828"/>
      <c r="H47" s="831" t="s">
        <v>293</v>
      </c>
      <c r="I47" s="828"/>
      <c r="J47" s="828"/>
      <c r="K47" s="828"/>
      <c r="L47" s="828"/>
      <c r="M47" s="828"/>
      <c r="N47" s="449" t="s">
        <v>293</v>
      </c>
      <c r="O47" s="449" t="s">
        <v>293</v>
      </c>
      <c r="P47" s="449" t="s">
        <v>293</v>
      </c>
      <c r="Q47" s="843">
        <v>94.85</v>
      </c>
      <c r="R47" s="828"/>
      <c r="S47" s="843">
        <v>632.41999999999996</v>
      </c>
      <c r="T47" s="828"/>
      <c r="U47" s="843">
        <v>632.41999999999996</v>
      </c>
      <c r="V47" s="828"/>
      <c r="W47" s="828"/>
      <c r="X47" s="828"/>
      <c r="Y47" s="828"/>
      <c r="Z47" s="445"/>
      <c r="AA47" s="445"/>
      <c r="AB47" s="445"/>
    </row>
    <row r="48" spans="1:28" ht="24" customHeight="1" x14ac:dyDescent="0.25">
      <c r="A48" s="833" t="s">
        <v>293</v>
      </c>
      <c r="B48" s="828"/>
      <c r="C48" s="828"/>
      <c r="D48" s="828"/>
      <c r="E48" s="828"/>
      <c r="F48" s="828"/>
      <c r="G48" s="828"/>
      <c r="H48" s="828"/>
      <c r="I48" s="828"/>
      <c r="J48" s="828"/>
      <c r="K48" s="828"/>
      <c r="L48" s="828"/>
      <c r="M48" s="828"/>
      <c r="N48" s="828"/>
      <c r="O48" s="828"/>
      <c r="P48" s="828"/>
      <c r="Q48" s="828"/>
      <c r="R48" s="828"/>
      <c r="S48" s="828"/>
      <c r="T48" s="828"/>
      <c r="U48" s="828"/>
      <c r="V48" s="828"/>
      <c r="W48" s="828"/>
      <c r="X48" s="828"/>
      <c r="Y48" s="828"/>
      <c r="Z48" s="445"/>
      <c r="AA48" s="445"/>
      <c r="AB48" s="445"/>
    </row>
    <row r="49" spans="1:28" ht="12" customHeight="1" x14ac:dyDescent="0.25">
      <c r="A49" s="831" t="s">
        <v>307</v>
      </c>
      <c r="B49" s="828"/>
      <c r="C49" s="449" t="s">
        <v>293</v>
      </c>
      <c r="D49" s="449" t="s">
        <v>589</v>
      </c>
      <c r="E49" s="831" t="s">
        <v>590</v>
      </c>
      <c r="F49" s="828"/>
      <c r="G49" s="828"/>
      <c r="H49" s="831" t="s">
        <v>293</v>
      </c>
      <c r="I49" s="828"/>
      <c r="J49" s="828"/>
      <c r="K49" s="828"/>
      <c r="L49" s="828"/>
      <c r="M49" s="828"/>
      <c r="N49" s="828"/>
      <c r="O49" s="828"/>
      <c r="P49" s="828"/>
      <c r="Q49" s="828"/>
      <c r="R49" s="828"/>
      <c r="S49" s="828"/>
      <c r="T49" s="828"/>
      <c r="U49" s="843">
        <v>0</v>
      </c>
      <c r="V49" s="828"/>
      <c r="W49" s="828"/>
      <c r="X49" s="828"/>
      <c r="Y49" s="828"/>
      <c r="Z49" s="445"/>
      <c r="AA49" s="445"/>
      <c r="AB49" s="445"/>
    </row>
    <row r="50" spans="1:28" s="491" customFormat="1" ht="18" x14ac:dyDescent="0.25">
      <c r="A50" s="451" t="s">
        <v>1963</v>
      </c>
      <c r="B50" s="452" t="s">
        <v>311</v>
      </c>
      <c r="C50" s="451" t="s">
        <v>1964</v>
      </c>
      <c r="D50" s="844" t="s">
        <v>1997</v>
      </c>
      <c r="E50" s="845"/>
      <c r="F50" s="845"/>
      <c r="G50" s="452" t="s">
        <v>505</v>
      </c>
      <c r="H50" s="846" t="s">
        <v>1966</v>
      </c>
      <c r="I50" s="845"/>
      <c r="J50" s="845"/>
      <c r="K50" s="452" t="s">
        <v>316</v>
      </c>
      <c r="L50" s="846" t="s">
        <v>317</v>
      </c>
      <c r="M50" s="845"/>
      <c r="N50" s="452" t="s">
        <v>318</v>
      </c>
      <c r="O50" s="452" t="s">
        <v>293</v>
      </c>
      <c r="P50" s="452" t="s">
        <v>293</v>
      </c>
      <c r="Q50" s="847">
        <v>0.88</v>
      </c>
      <c r="R50" s="845"/>
      <c r="S50" s="847">
        <v>5.85</v>
      </c>
      <c r="T50" s="845"/>
      <c r="U50" s="848">
        <v>5.85</v>
      </c>
      <c r="V50" s="845"/>
      <c r="W50" s="845"/>
      <c r="X50" s="845"/>
      <c r="Y50" s="845"/>
      <c r="Z50" s="453"/>
      <c r="AA50" s="453"/>
      <c r="AB50" s="453" t="s">
        <v>563</v>
      </c>
    </row>
    <row r="51" spans="1:28" s="491" customFormat="1" ht="18" x14ac:dyDescent="0.25">
      <c r="A51" s="451" t="s">
        <v>1963</v>
      </c>
      <c r="B51" s="452" t="s">
        <v>311</v>
      </c>
      <c r="C51" s="451" t="s">
        <v>1964</v>
      </c>
      <c r="D51" s="844" t="s">
        <v>1998</v>
      </c>
      <c r="E51" s="845"/>
      <c r="F51" s="845"/>
      <c r="G51" s="452" t="s">
        <v>505</v>
      </c>
      <c r="H51" s="846" t="s">
        <v>1966</v>
      </c>
      <c r="I51" s="845"/>
      <c r="J51" s="845"/>
      <c r="K51" s="452" t="s">
        <v>316</v>
      </c>
      <c r="L51" s="846" t="s">
        <v>317</v>
      </c>
      <c r="M51" s="845"/>
      <c r="N51" s="452" t="s">
        <v>318</v>
      </c>
      <c r="O51" s="452" t="s">
        <v>293</v>
      </c>
      <c r="P51" s="452" t="s">
        <v>293</v>
      </c>
      <c r="Q51" s="847">
        <v>2.52</v>
      </c>
      <c r="R51" s="845"/>
      <c r="S51" s="847">
        <v>16.850000000000001</v>
      </c>
      <c r="T51" s="845"/>
      <c r="U51" s="848">
        <v>22.7</v>
      </c>
      <c r="V51" s="845"/>
      <c r="W51" s="845"/>
      <c r="X51" s="845"/>
      <c r="Y51" s="845"/>
      <c r="Z51" s="453"/>
      <c r="AA51" s="453"/>
      <c r="AB51" s="453" t="s">
        <v>563</v>
      </c>
    </row>
    <row r="52" spans="1:28" s="491" customFormat="1" ht="18" x14ac:dyDescent="0.25">
      <c r="A52" s="451" t="s">
        <v>1963</v>
      </c>
      <c r="B52" s="452" t="s">
        <v>311</v>
      </c>
      <c r="C52" s="451" t="s">
        <v>1964</v>
      </c>
      <c r="D52" s="844" t="s">
        <v>1999</v>
      </c>
      <c r="E52" s="845"/>
      <c r="F52" s="845"/>
      <c r="G52" s="452" t="s">
        <v>505</v>
      </c>
      <c r="H52" s="846" t="s">
        <v>1966</v>
      </c>
      <c r="I52" s="845"/>
      <c r="J52" s="845"/>
      <c r="K52" s="452" t="s">
        <v>316</v>
      </c>
      <c r="L52" s="846" t="s">
        <v>317</v>
      </c>
      <c r="M52" s="845"/>
      <c r="N52" s="452" t="s">
        <v>318</v>
      </c>
      <c r="O52" s="452" t="s">
        <v>293</v>
      </c>
      <c r="P52" s="452" t="s">
        <v>293</v>
      </c>
      <c r="Q52" s="847">
        <v>3.65</v>
      </c>
      <c r="R52" s="845"/>
      <c r="S52" s="847">
        <v>24.35</v>
      </c>
      <c r="T52" s="845"/>
      <c r="U52" s="848">
        <v>47.05</v>
      </c>
      <c r="V52" s="845"/>
      <c r="W52" s="845"/>
      <c r="X52" s="845"/>
      <c r="Y52" s="845"/>
      <c r="Z52" s="453"/>
      <c r="AA52" s="453"/>
      <c r="AB52" s="453" t="s">
        <v>563</v>
      </c>
    </row>
    <row r="53" spans="1:28" ht="18" x14ac:dyDescent="0.25">
      <c r="A53" s="450" t="s">
        <v>1963</v>
      </c>
      <c r="B53" s="446" t="s">
        <v>311</v>
      </c>
      <c r="C53" s="450" t="s">
        <v>1964</v>
      </c>
      <c r="D53" s="840" t="s">
        <v>2000</v>
      </c>
      <c r="E53" s="828"/>
      <c r="F53" s="828"/>
      <c r="G53" s="446" t="s">
        <v>505</v>
      </c>
      <c r="H53" s="830" t="s">
        <v>1966</v>
      </c>
      <c r="I53" s="828"/>
      <c r="J53" s="828"/>
      <c r="K53" s="446" t="s">
        <v>316</v>
      </c>
      <c r="L53" s="830" t="s">
        <v>317</v>
      </c>
      <c r="M53" s="828"/>
      <c r="N53" s="446" t="s">
        <v>318</v>
      </c>
      <c r="O53" s="446" t="s">
        <v>293</v>
      </c>
      <c r="P53" s="446" t="s">
        <v>293</v>
      </c>
      <c r="Q53" s="841">
        <v>1.35</v>
      </c>
      <c r="R53" s="828"/>
      <c r="S53" s="841">
        <v>9</v>
      </c>
      <c r="T53" s="828"/>
      <c r="U53" s="842">
        <v>56.05</v>
      </c>
      <c r="V53" s="828"/>
      <c r="W53" s="828"/>
      <c r="X53" s="828"/>
      <c r="Y53" s="828"/>
      <c r="Z53" s="445"/>
      <c r="AA53" s="445"/>
      <c r="AB53" s="445"/>
    </row>
    <row r="54" spans="1:28" ht="18" x14ac:dyDescent="0.25">
      <c r="A54" s="450" t="s">
        <v>1963</v>
      </c>
      <c r="B54" s="446" t="s">
        <v>311</v>
      </c>
      <c r="C54" s="450" t="s">
        <v>1964</v>
      </c>
      <c r="D54" s="840" t="s">
        <v>2001</v>
      </c>
      <c r="E54" s="828"/>
      <c r="F54" s="828"/>
      <c r="G54" s="446" t="s">
        <v>505</v>
      </c>
      <c r="H54" s="830" t="s">
        <v>1966</v>
      </c>
      <c r="I54" s="828"/>
      <c r="J54" s="828"/>
      <c r="K54" s="446" t="s">
        <v>316</v>
      </c>
      <c r="L54" s="830" t="s">
        <v>317</v>
      </c>
      <c r="M54" s="828"/>
      <c r="N54" s="446" t="s">
        <v>318</v>
      </c>
      <c r="O54" s="446" t="s">
        <v>293</v>
      </c>
      <c r="P54" s="446" t="s">
        <v>293</v>
      </c>
      <c r="Q54" s="841">
        <v>1.28</v>
      </c>
      <c r="R54" s="828"/>
      <c r="S54" s="841">
        <v>8.5</v>
      </c>
      <c r="T54" s="828"/>
      <c r="U54" s="842">
        <v>64.55</v>
      </c>
      <c r="V54" s="828"/>
      <c r="W54" s="828"/>
      <c r="X54" s="828"/>
      <c r="Y54" s="828"/>
      <c r="Z54" s="445"/>
      <c r="AA54" s="445"/>
      <c r="AB54" s="445"/>
    </row>
    <row r="55" spans="1:28" s="491" customFormat="1" ht="18" x14ac:dyDescent="0.25">
      <c r="A55" s="451" t="s">
        <v>1961</v>
      </c>
      <c r="B55" s="452" t="s">
        <v>311</v>
      </c>
      <c r="C55" s="451" t="s">
        <v>1969</v>
      </c>
      <c r="D55" s="844" t="s">
        <v>2002</v>
      </c>
      <c r="E55" s="845"/>
      <c r="F55" s="845"/>
      <c r="G55" s="452" t="s">
        <v>505</v>
      </c>
      <c r="H55" s="846" t="s">
        <v>1971</v>
      </c>
      <c r="I55" s="845"/>
      <c r="J55" s="845"/>
      <c r="K55" s="452" t="s">
        <v>316</v>
      </c>
      <c r="L55" s="846" t="s">
        <v>317</v>
      </c>
      <c r="M55" s="845"/>
      <c r="N55" s="452" t="s">
        <v>318</v>
      </c>
      <c r="O55" s="452" t="s">
        <v>293</v>
      </c>
      <c r="P55" s="452" t="s">
        <v>293</v>
      </c>
      <c r="Q55" s="847">
        <v>4.5</v>
      </c>
      <c r="R55" s="845"/>
      <c r="S55" s="847">
        <v>30</v>
      </c>
      <c r="T55" s="845"/>
      <c r="U55" s="848">
        <v>94.55</v>
      </c>
      <c r="V55" s="845"/>
      <c r="W55" s="845"/>
      <c r="X55" s="845"/>
      <c r="Y55" s="845"/>
      <c r="Z55" s="453"/>
      <c r="AA55" s="453"/>
      <c r="AB55" s="453" t="s">
        <v>563</v>
      </c>
    </row>
    <row r="56" spans="1:28" ht="18" x14ac:dyDescent="0.25">
      <c r="A56" s="450" t="s">
        <v>1961</v>
      </c>
      <c r="B56" s="446" t="s">
        <v>311</v>
      </c>
      <c r="C56" s="450" t="s">
        <v>1969</v>
      </c>
      <c r="D56" s="840" t="s">
        <v>2003</v>
      </c>
      <c r="E56" s="828"/>
      <c r="F56" s="828"/>
      <c r="G56" s="446" t="s">
        <v>505</v>
      </c>
      <c r="H56" s="830" t="s">
        <v>1971</v>
      </c>
      <c r="I56" s="828"/>
      <c r="J56" s="828"/>
      <c r="K56" s="446" t="s">
        <v>316</v>
      </c>
      <c r="L56" s="830" t="s">
        <v>317</v>
      </c>
      <c r="M56" s="828"/>
      <c r="N56" s="446" t="s">
        <v>318</v>
      </c>
      <c r="O56" s="446" t="s">
        <v>293</v>
      </c>
      <c r="P56" s="446" t="s">
        <v>293</v>
      </c>
      <c r="Q56" s="841">
        <v>2.25</v>
      </c>
      <c r="R56" s="828"/>
      <c r="S56" s="841">
        <v>15</v>
      </c>
      <c r="T56" s="828"/>
      <c r="U56" s="842">
        <v>109.55</v>
      </c>
      <c r="V56" s="828"/>
      <c r="W56" s="828"/>
      <c r="X56" s="828"/>
      <c r="Y56" s="828"/>
      <c r="Z56" s="445"/>
      <c r="AA56" s="445"/>
      <c r="AB56" s="445"/>
    </row>
    <row r="57" spans="1:28" ht="22.5" customHeight="1" x14ac:dyDescent="0.25">
      <c r="A57" s="450" t="s">
        <v>2004</v>
      </c>
      <c r="B57" s="446" t="s">
        <v>311</v>
      </c>
      <c r="C57" s="450" t="s">
        <v>2005</v>
      </c>
      <c r="D57" s="840" t="s">
        <v>2006</v>
      </c>
      <c r="E57" s="828"/>
      <c r="F57" s="828"/>
      <c r="G57" s="446" t="s">
        <v>2007</v>
      </c>
      <c r="H57" s="830" t="s">
        <v>2008</v>
      </c>
      <c r="I57" s="828"/>
      <c r="J57" s="828"/>
      <c r="K57" s="446" t="s">
        <v>316</v>
      </c>
      <c r="L57" s="830" t="s">
        <v>317</v>
      </c>
      <c r="M57" s="828"/>
      <c r="N57" s="446" t="s">
        <v>318</v>
      </c>
      <c r="O57" s="446" t="s">
        <v>293</v>
      </c>
      <c r="P57" s="446" t="s">
        <v>293</v>
      </c>
      <c r="Q57" s="841">
        <v>0</v>
      </c>
      <c r="R57" s="828"/>
      <c r="S57" s="841">
        <v>161.16</v>
      </c>
      <c r="T57" s="828"/>
      <c r="U57" s="842">
        <v>270.70999999999998</v>
      </c>
      <c r="V57" s="828"/>
      <c r="W57" s="828"/>
      <c r="X57" s="828"/>
      <c r="Y57" s="828"/>
      <c r="Z57" s="445"/>
      <c r="AA57" s="445"/>
      <c r="AB57" s="445"/>
    </row>
    <row r="58" spans="1:28" s="491" customFormat="1" ht="18" x14ac:dyDescent="0.25">
      <c r="A58" s="451" t="s">
        <v>1973</v>
      </c>
      <c r="B58" s="452" t="s">
        <v>751</v>
      </c>
      <c r="C58" s="451" t="s">
        <v>1974</v>
      </c>
      <c r="D58" s="844" t="s">
        <v>1998</v>
      </c>
      <c r="E58" s="845"/>
      <c r="F58" s="845"/>
      <c r="G58" s="452" t="s">
        <v>505</v>
      </c>
      <c r="H58" s="846" t="s">
        <v>1975</v>
      </c>
      <c r="I58" s="845"/>
      <c r="J58" s="845"/>
      <c r="K58" s="452" t="s">
        <v>316</v>
      </c>
      <c r="L58" s="846" t="s">
        <v>317</v>
      </c>
      <c r="M58" s="845"/>
      <c r="N58" s="452" t="s">
        <v>318</v>
      </c>
      <c r="O58" s="452" t="s">
        <v>293</v>
      </c>
      <c r="P58" s="452" t="s">
        <v>293</v>
      </c>
      <c r="Q58" s="847">
        <v>1.5</v>
      </c>
      <c r="R58" s="845"/>
      <c r="S58" s="847">
        <v>10</v>
      </c>
      <c r="T58" s="845"/>
      <c r="U58" s="848">
        <v>280.70999999999998</v>
      </c>
      <c r="V58" s="845"/>
      <c r="W58" s="845"/>
      <c r="X58" s="845"/>
      <c r="Y58" s="845"/>
      <c r="Z58" s="453"/>
      <c r="AA58" s="453"/>
      <c r="AB58" s="453" t="s">
        <v>563</v>
      </c>
    </row>
    <row r="59" spans="1:28" s="491" customFormat="1" ht="18" x14ac:dyDescent="0.25">
      <c r="A59" s="451" t="s">
        <v>1973</v>
      </c>
      <c r="B59" s="452" t="s">
        <v>311</v>
      </c>
      <c r="C59" s="451" t="s">
        <v>1976</v>
      </c>
      <c r="D59" s="844" t="s">
        <v>2009</v>
      </c>
      <c r="E59" s="845"/>
      <c r="F59" s="845"/>
      <c r="G59" s="452" t="s">
        <v>505</v>
      </c>
      <c r="H59" s="846" t="s">
        <v>1978</v>
      </c>
      <c r="I59" s="845"/>
      <c r="J59" s="845"/>
      <c r="K59" s="452" t="s">
        <v>316</v>
      </c>
      <c r="L59" s="846" t="s">
        <v>317</v>
      </c>
      <c r="M59" s="845"/>
      <c r="N59" s="452" t="s">
        <v>318</v>
      </c>
      <c r="O59" s="452" t="s">
        <v>293</v>
      </c>
      <c r="P59" s="452" t="s">
        <v>293</v>
      </c>
      <c r="Q59" s="847">
        <v>2.38</v>
      </c>
      <c r="R59" s="845"/>
      <c r="S59" s="847">
        <v>15.85</v>
      </c>
      <c r="T59" s="845"/>
      <c r="U59" s="848">
        <v>296.56</v>
      </c>
      <c r="V59" s="845"/>
      <c r="W59" s="845"/>
      <c r="X59" s="845"/>
      <c r="Y59" s="845"/>
      <c r="Z59" s="453"/>
      <c r="AA59" s="453"/>
      <c r="AB59" s="453" t="s">
        <v>563</v>
      </c>
    </row>
    <row r="60" spans="1:28" x14ac:dyDescent="0.25">
      <c r="A60" s="831" t="s">
        <v>293</v>
      </c>
      <c r="B60" s="828"/>
      <c r="C60" s="828"/>
      <c r="D60" s="828"/>
      <c r="E60" s="831" t="s">
        <v>590</v>
      </c>
      <c r="F60" s="828"/>
      <c r="G60" s="828"/>
      <c r="H60" s="831" t="s">
        <v>293</v>
      </c>
      <c r="I60" s="828"/>
      <c r="J60" s="828"/>
      <c r="K60" s="828"/>
      <c r="L60" s="828"/>
      <c r="M60" s="828"/>
      <c r="N60" s="449" t="s">
        <v>293</v>
      </c>
      <c r="O60" s="449" t="s">
        <v>293</v>
      </c>
      <c r="P60" s="449" t="s">
        <v>293</v>
      </c>
      <c r="Q60" s="843">
        <v>20.309999999999999</v>
      </c>
      <c r="R60" s="828"/>
      <c r="S60" s="843">
        <v>296.56</v>
      </c>
      <c r="T60" s="828"/>
      <c r="U60" s="843">
        <v>296.56</v>
      </c>
      <c r="V60" s="828"/>
      <c r="W60" s="828"/>
      <c r="X60" s="828"/>
      <c r="Y60" s="828"/>
      <c r="Z60" s="445"/>
      <c r="AA60" s="445"/>
      <c r="AB60" s="445"/>
    </row>
    <row r="61" spans="1:28" ht="24" customHeight="1" x14ac:dyDescent="0.25">
      <c r="A61" s="833" t="s">
        <v>293</v>
      </c>
      <c r="B61" s="828"/>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445"/>
      <c r="AA61" s="445"/>
      <c r="AB61" s="445"/>
    </row>
    <row r="62" spans="1:28" ht="12" customHeight="1" x14ac:dyDescent="0.25">
      <c r="A62" s="831" t="s">
        <v>307</v>
      </c>
      <c r="B62" s="828"/>
      <c r="C62" s="449" t="s">
        <v>293</v>
      </c>
      <c r="D62" s="449" t="s">
        <v>398</v>
      </c>
      <c r="E62" s="831" t="s">
        <v>399</v>
      </c>
      <c r="F62" s="828"/>
      <c r="G62" s="828"/>
      <c r="H62" s="831" t="s">
        <v>293</v>
      </c>
      <c r="I62" s="828"/>
      <c r="J62" s="828"/>
      <c r="K62" s="828"/>
      <c r="L62" s="828"/>
      <c r="M62" s="828"/>
      <c r="N62" s="828"/>
      <c r="O62" s="828"/>
      <c r="P62" s="828"/>
      <c r="Q62" s="828"/>
      <c r="R62" s="828"/>
      <c r="S62" s="828"/>
      <c r="T62" s="828"/>
      <c r="U62" s="843">
        <v>0</v>
      </c>
      <c r="V62" s="828"/>
      <c r="W62" s="828"/>
      <c r="X62" s="828"/>
      <c r="Y62" s="828"/>
      <c r="Z62" s="445"/>
      <c r="AA62" s="445"/>
      <c r="AB62" s="445"/>
    </row>
    <row r="63" spans="1:28" ht="18" x14ac:dyDescent="0.25">
      <c r="A63" s="450" t="s">
        <v>2010</v>
      </c>
      <c r="B63" s="446" t="s">
        <v>325</v>
      </c>
      <c r="C63" s="450" t="s">
        <v>2011</v>
      </c>
      <c r="D63" s="840" t="s">
        <v>609</v>
      </c>
      <c r="E63" s="828"/>
      <c r="F63" s="828"/>
      <c r="G63" s="446" t="s">
        <v>293</v>
      </c>
      <c r="H63" s="830" t="s">
        <v>293</v>
      </c>
      <c r="I63" s="828"/>
      <c r="J63" s="828"/>
      <c r="K63" s="446" t="s">
        <v>316</v>
      </c>
      <c r="L63" s="830" t="s">
        <v>411</v>
      </c>
      <c r="M63" s="828"/>
      <c r="N63" s="446" t="s">
        <v>318</v>
      </c>
      <c r="O63" s="446" t="s">
        <v>293</v>
      </c>
      <c r="P63" s="446" t="s">
        <v>293</v>
      </c>
      <c r="Q63" s="841">
        <v>0.92</v>
      </c>
      <c r="R63" s="828"/>
      <c r="S63" s="841">
        <v>6.15</v>
      </c>
      <c r="T63" s="828"/>
      <c r="U63" s="842">
        <v>6.15</v>
      </c>
      <c r="V63" s="828"/>
      <c r="W63" s="828"/>
      <c r="X63" s="828"/>
      <c r="Y63" s="828"/>
      <c r="Z63" s="445"/>
      <c r="AA63" s="445"/>
      <c r="AB63" s="445"/>
    </row>
    <row r="64" spans="1:28" ht="18" x14ac:dyDescent="0.25">
      <c r="A64" s="450" t="s">
        <v>2012</v>
      </c>
      <c r="B64" s="446" t="s">
        <v>325</v>
      </c>
      <c r="C64" s="450" t="s">
        <v>2013</v>
      </c>
      <c r="D64" s="840" t="s">
        <v>599</v>
      </c>
      <c r="E64" s="828"/>
      <c r="F64" s="828"/>
      <c r="G64" s="446" t="s">
        <v>293</v>
      </c>
      <c r="H64" s="830" t="s">
        <v>293</v>
      </c>
      <c r="I64" s="828"/>
      <c r="J64" s="828"/>
      <c r="K64" s="446" t="s">
        <v>316</v>
      </c>
      <c r="L64" s="830" t="s">
        <v>411</v>
      </c>
      <c r="M64" s="828"/>
      <c r="N64" s="446" t="s">
        <v>318</v>
      </c>
      <c r="O64" s="446" t="s">
        <v>293</v>
      </c>
      <c r="P64" s="446" t="s">
        <v>293</v>
      </c>
      <c r="Q64" s="841">
        <v>1.63</v>
      </c>
      <c r="R64" s="828"/>
      <c r="S64" s="841">
        <v>10.87</v>
      </c>
      <c r="T64" s="828"/>
      <c r="U64" s="842">
        <v>17.02</v>
      </c>
      <c r="V64" s="828"/>
      <c r="W64" s="828"/>
      <c r="X64" s="828"/>
      <c r="Y64" s="828"/>
      <c r="Z64" s="445"/>
      <c r="AA64" s="445"/>
      <c r="AB64" s="445"/>
    </row>
    <row r="65" spans="1:28" ht="18" x14ac:dyDescent="0.25">
      <c r="A65" s="450" t="s">
        <v>1947</v>
      </c>
      <c r="B65" s="446" t="s">
        <v>325</v>
      </c>
      <c r="C65" s="450" t="s">
        <v>2014</v>
      </c>
      <c r="D65" s="840" t="s">
        <v>609</v>
      </c>
      <c r="E65" s="828"/>
      <c r="F65" s="828"/>
      <c r="G65" s="446" t="s">
        <v>293</v>
      </c>
      <c r="H65" s="830" t="s">
        <v>293</v>
      </c>
      <c r="I65" s="828"/>
      <c r="J65" s="828"/>
      <c r="K65" s="446" t="s">
        <v>316</v>
      </c>
      <c r="L65" s="830" t="s">
        <v>411</v>
      </c>
      <c r="M65" s="828"/>
      <c r="N65" s="446" t="s">
        <v>318</v>
      </c>
      <c r="O65" s="446" t="s">
        <v>293</v>
      </c>
      <c r="P65" s="446" t="s">
        <v>293</v>
      </c>
      <c r="Q65" s="841">
        <v>5.09</v>
      </c>
      <c r="R65" s="828"/>
      <c r="S65" s="841">
        <v>33.950000000000003</v>
      </c>
      <c r="T65" s="828"/>
      <c r="U65" s="842">
        <v>50.97</v>
      </c>
      <c r="V65" s="828"/>
      <c r="W65" s="828"/>
      <c r="X65" s="828"/>
      <c r="Y65" s="828"/>
      <c r="Z65" s="445"/>
      <c r="AA65" s="445"/>
      <c r="AB65" s="445"/>
    </row>
    <row r="66" spans="1:28" ht="18" x14ac:dyDescent="0.25">
      <c r="A66" s="450" t="s">
        <v>2015</v>
      </c>
      <c r="B66" s="446" t="s">
        <v>325</v>
      </c>
      <c r="C66" s="450" t="s">
        <v>2016</v>
      </c>
      <c r="D66" s="840" t="s">
        <v>601</v>
      </c>
      <c r="E66" s="828"/>
      <c r="F66" s="828"/>
      <c r="G66" s="446" t="s">
        <v>293</v>
      </c>
      <c r="H66" s="830" t="s">
        <v>293</v>
      </c>
      <c r="I66" s="828"/>
      <c r="J66" s="828"/>
      <c r="K66" s="446" t="s">
        <v>316</v>
      </c>
      <c r="L66" s="830" t="s">
        <v>317</v>
      </c>
      <c r="M66" s="828"/>
      <c r="N66" s="446" t="s">
        <v>318</v>
      </c>
      <c r="O66" s="446" t="s">
        <v>293</v>
      </c>
      <c r="P66" s="446" t="s">
        <v>293</v>
      </c>
      <c r="Q66" s="841">
        <v>8.65</v>
      </c>
      <c r="R66" s="828"/>
      <c r="S66" s="841">
        <v>57.65</v>
      </c>
      <c r="T66" s="828"/>
      <c r="U66" s="842">
        <v>108.62</v>
      </c>
      <c r="V66" s="828"/>
      <c r="W66" s="828"/>
      <c r="X66" s="828"/>
      <c r="Y66" s="828"/>
      <c r="Z66" s="445"/>
      <c r="AA66" s="445"/>
      <c r="AB66" s="445"/>
    </row>
    <row r="67" spans="1:28" ht="18" x14ac:dyDescent="0.25">
      <c r="A67" s="450" t="s">
        <v>2015</v>
      </c>
      <c r="B67" s="446" t="s">
        <v>325</v>
      </c>
      <c r="C67" s="450" t="s">
        <v>2017</v>
      </c>
      <c r="D67" s="840" t="s">
        <v>601</v>
      </c>
      <c r="E67" s="828"/>
      <c r="F67" s="828"/>
      <c r="G67" s="446" t="s">
        <v>293</v>
      </c>
      <c r="H67" s="830" t="s">
        <v>293</v>
      </c>
      <c r="I67" s="828"/>
      <c r="J67" s="828"/>
      <c r="K67" s="446" t="s">
        <v>316</v>
      </c>
      <c r="L67" s="830" t="s">
        <v>317</v>
      </c>
      <c r="M67" s="828"/>
      <c r="N67" s="446" t="s">
        <v>318</v>
      </c>
      <c r="O67" s="446" t="s">
        <v>293</v>
      </c>
      <c r="P67" s="446" t="s">
        <v>293</v>
      </c>
      <c r="Q67" s="841">
        <v>2.2599999999999998</v>
      </c>
      <c r="R67" s="828"/>
      <c r="S67" s="841">
        <v>15.04</v>
      </c>
      <c r="T67" s="828"/>
      <c r="U67" s="842">
        <v>123.66</v>
      </c>
      <c r="V67" s="828"/>
      <c r="W67" s="828"/>
      <c r="X67" s="828"/>
      <c r="Y67" s="828"/>
      <c r="Z67" s="445"/>
      <c r="AA67" s="445"/>
      <c r="AB67" s="445"/>
    </row>
    <row r="68" spans="1:28" ht="18" x14ac:dyDescent="0.25">
      <c r="A68" s="450" t="s">
        <v>2015</v>
      </c>
      <c r="B68" s="446" t="s">
        <v>325</v>
      </c>
      <c r="C68" s="450" t="s">
        <v>2018</v>
      </c>
      <c r="D68" s="840" t="s">
        <v>609</v>
      </c>
      <c r="E68" s="828"/>
      <c r="F68" s="828"/>
      <c r="G68" s="446" t="s">
        <v>293</v>
      </c>
      <c r="H68" s="830" t="s">
        <v>293</v>
      </c>
      <c r="I68" s="828"/>
      <c r="J68" s="828"/>
      <c r="K68" s="446" t="s">
        <v>316</v>
      </c>
      <c r="L68" s="830" t="s">
        <v>317</v>
      </c>
      <c r="M68" s="828"/>
      <c r="N68" s="446" t="s">
        <v>318</v>
      </c>
      <c r="O68" s="446" t="s">
        <v>293</v>
      </c>
      <c r="P68" s="446" t="s">
        <v>293</v>
      </c>
      <c r="Q68" s="841">
        <v>1.56</v>
      </c>
      <c r="R68" s="828"/>
      <c r="S68" s="841">
        <v>10.43</v>
      </c>
      <c r="T68" s="828"/>
      <c r="U68" s="842">
        <v>134.09</v>
      </c>
      <c r="V68" s="828"/>
      <c r="W68" s="828"/>
      <c r="X68" s="828"/>
      <c r="Y68" s="828"/>
      <c r="Z68" s="445"/>
      <c r="AA68" s="445"/>
      <c r="AB68" s="445"/>
    </row>
    <row r="69" spans="1:28" x14ac:dyDescent="0.25">
      <c r="A69" s="831" t="s">
        <v>293</v>
      </c>
      <c r="B69" s="828"/>
      <c r="C69" s="828"/>
      <c r="D69" s="828"/>
      <c r="E69" s="831" t="s">
        <v>399</v>
      </c>
      <c r="F69" s="828"/>
      <c r="G69" s="828"/>
      <c r="H69" s="831" t="s">
        <v>293</v>
      </c>
      <c r="I69" s="828"/>
      <c r="J69" s="828"/>
      <c r="K69" s="828"/>
      <c r="L69" s="828"/>
      <c r="M69" s="828"/>
      <c r="N69" s="449" t="s">
        <v>293</v>
      </c>
      <c r="O69" s="449" t="s">
        <v>293</v>
      </c>
      <c r="P69" s="449" t="s">
        <v>293</v>
      </c>
      <c r="Q69" s="843">
        <v>20.11</v>
      </c>
      <c r="R69" s="828"/>
      <c r="S69" s="843">
        <v>134.09</v>
      </c>
      <c r="T69" s="828"/>
      <c r="U69" s="843">
        <v>134.09</v>
      </c>
      <c r="V69" s="828"/>
      <c r="W69" s="828"/>
      <c r="X69" s="828"/>
      <c r="Y69" s="828"/>
      <c r="Z69" s="445"/>
      <c r="AA69" s="445"/>
      <c r="AB69" s="445"/>
    </row>
    <row r="70" spans="1:28" ht="24" customHeight="1" x14ac:dyDescent="0.25">
      <c r="A70" s="833" t="s">
        <v>293</v>
      </c>
      <c r="B70" s="828"/>
      <c r="C70" s="828"/>
      <c r="D70" s="828"/>
      <c r="E70" s="828"/>
      <c r="F70" s="828"/>
      <c r="G70" s="828"/>
      <c r="H70" s="828"/>
      <c r="I70" s="828"/>
      <c r="J70" s="828"/>
      <c r="K70" s="828"/>
      <c r="L70" s="828"/>
      <c r="M70" s="828"/>
      <c r="N70" s="828"/>
      <c r="O70" s="828"/>
      <c r="P70" s="828"/>
      <c r="Q70" s="828"/>
      <c r="R70" s="828"/>
      <c r="S70" s="828"/>
      <c r="T70" s="828"/>
      <c r="U70" s="828"/>
      <c r="V70" s="828"/>
      <c r="W70" s="828"/>
      <c r="X70" s="828"/>
      <c r="Y70" s="828"/>
      <c r="Z70" s="445"/>
      <c r="AA70" s="445"/>
      <c r="AB70" s="445"/>
    </row>
    <row r="71" spans="1:28" ht="12" customHeight="1" x14ac:dyDescent="0.25">
      <c r="A71" s="831" t="s">
        <v>307</v>
      </c>
      <c r="B71" s="828"/>
      <c r="C71" s="449" t="s">
        <v>293</v>
      </c>
      <c r="D71" s="449" t="s">
        <v>414</v>
      </c>
      <c r="E71" s="831" t="s">
        <v>415</v>
      </c>
      <c r="F71" s="828"/>
      <c r="G71" s="828"/>
      <c r="H71" s="831" t="s">
        <v>293</v>
      </c>
      <c r="I71" s="828"/>
      <c r="J71" s="828"/>
      <c r="K71" s="828"/>
      <c r="L71" s="828"/>
      <c r="M71" s="828"/>
      <c r="N71" s="828"/>
      <c r="O71" s="828"/>
      <c r="P71" s="828"/>
      <c r="Q71" s="828"/>
      <c r="R71" s="828"/>
      <c r="S71" s="828"/>
      <c r="T71" s="828"/>
      <c r="U71" s="843">
        <v>0</v>
      </c>
      <c r="V71" s="828"/>
      <c r="W71" s="828"/>
      <c r="X71" s="828"/>
      <c r="Y71" s="828"/>
      <c r="Z71" s="445"/>
      <c r="AA71" s="445"/>
      <c r="AB71" s="445"/>
    </row>
    <row r="72" spans="1:28" s="491" customFormat="1" ht="18" x14ac:dyDescent="0.25">
      <c r="A72" s="451" t="s">
        <v>1979</v>
      </c>
      <c r="B72" s="452" t="s">
        <v>325</v>
      </c>
      <c r="C72" s="451" t="s">
        <v>2019</v>
      </c>
      <c r="D72" s="844" t="s">
        <v>2020</v>
      </c>
      <c r="E72" s="845"/>
      <c r="F72" s="845"/>
      <c r="G72" s="452" t="s">
        <v>293</v>
      </c>
      <c r="H72" s="846" t="s">
        <v>293</v>
      </c>
      <c r="I72" s="845"/>
      <c r="J72" s="845"/>
      <c r="K72" s="452" t="s">
        <v>316</v>
      </c>
      <c r="L72" s="846" t="s">
        <v>317</v>
      </c>
      <c r="M72" s="845"/>
      <c r="N72" s="452" t="s">
        <v>318</v>
      </c>
      <c r="O72" s="452" t="s">
        <v>293</v>
      </c>
      <c r="P72" s="452" t="s">
        <v>293</v>
      </c>
      <c r="Q72" s="847">
        <v>4.7</v>
      </c>
      <c r="R72" s="845"/>
      <c r="S72" s="847">
        <v>31.3</v>
      </c>
      <c r="T72" s="845"/>
      <c r="U72" s="848">
        <v>31.3</v>
      </c>
      <c r="V72" s="845"/>
      <c r="W72" s="845"/>
      <c r="X72" s="845"/>
      <c r="Y72" s="845"/>
      <c r="Z72" s="453"/>
      <c r="AA72" s="453"/>
      <c r="AB72" s="453" t="s">
        <v>1982</v>
      </c>
    </row>
    <row r="73" spans="1:28" s="491" customFormat="1" ht="18" x14ac:dyDescent="0.25">
      <c r="A73" s="451" t="s">
        <v>1986</v>
      </c>
      <c r="B73" s="452" t="s">
        <v>325</v>
      </c>
      <c r="C73" s="451" t="s">
        <v>2021</v>
      </c>
      <c r="D73" s="844" t="s">
        <v>2022</v>
      </c>
      <c r="E73" s="845"/>
      <c r="F73" s="845"/>
      <c r="G73" s="452" t="s">
        <v>293</v>
      </c>
      <c r="H73" s="846" t="s">
        <v>293</v>
      </c>
      <c r="I73" s="845"/>
      <c r="J73" s="845"/>
      <c r="K73" s="452" t="s">
        <v>316</v>
      </c>
      <c r="L73" s="846" t="s">
        <v>317</v>
      </c>
      <c r="M73" s="845"/>
      <c r="N73" s="452" t="s">
        <v>318</v>
      </c>
      <c r="O73" s="452" t="s">
        <v>293</v>
      </c>
      <c r="P73" s="452" t="s">
        <v>293</v>
      </c>
      <c r="Q73" s="847">
        <v>10.039999999999999</v>
      </c>
      <c r="R73" s="845"/>
      <c r="S73" s="847">
        <v>66.959999999999994</v>
      </c>
      <c r="T73" s="845"/>
      <c r="U73" s="848">
        <v>98.26</v>
      </c>
      <c r="V73" s="845"/>
      <c r="W73" s="845"/>
      <c r="X73" s="845"/>
      <c r="Y73" s="845"/>
      <c r="Z73" s="453"/>
      <c r="AA73" s="453"/>
      <c r="AB73" s="453" t="s">
        <v>563</v>
      </c>
    </row>
    <row r="74" spans="1:28" s="491" customFormat="1" ht="18" x14ac:dyDescent="0.25">
      <c r="A74" s="451" t="s">
        <v>1986</v>
      </c>
      <c r="B74" s="452" t="s">
        <v>325</v>
      </c>
      <c r="C74" s="451" t="s">
        <v>2023</v>
      </c>
      <c r="D74" s="844" t="s">
        <v>2024</v>
      </c>
      <c r="E74" s="845"/>
      <c r="F74" s="845"/>
      <c r="G74" s="452" t="s">
        <v>293</v>
      </c>
      <c r="H74" s="846" t="s">
        <v>293</v>
      </c>
      <c r="I74" s="845"/>
      <c r="J74" s="845"/>
      <c r="K74" s="452" t="s">
        <v>316</v>
      </c>
      <c r="L74" s="846" t="s">
        <v>317</v>
      </c>
      <c r="M74" s="845"/>
      <c r="N74" s="452" t="s">
        <v>318</v>
      </c>
      <c r="O74" s="452" t="s">
        <v>293</v>
      </c>
      <c r="P74" s="452" t="s">
        <v>293</v>
      </c>
      <c r="Q74" s="847">
        <v>7.9</v>
      </c>
      <c r="R74" s="845"/>
      <c r="S74" s="847">
        <v>52.7</v>
      </c>
      <c r="T74" s="845"/>
      <c r="U74" s="848">
        <v>150.96</v>
      </c>
      <c r="V74" s="845"/>
      <c r="W74" s="845"/>
      <c r="X74" s="845"/>
      <c r="Y74" s="845"/>
      <c r="Z74" s="453"/>
      <c r="AA74" s="453"/>
      <c r="AB74" s="453" t="s">
        <v>563</v>
      </c>
    </row>
    <row r="75" spans="1:28" x14ac:dyDescent="0.25">
      <c r="A75" s="450" t="s">
        <v>2025</v>
      </c>
      <c r="B75" s="446" t="s">
        <v>325</v>
      </c>
      <c r="C75" s="450" t="s">
        <v>2026</v>
      </c>
      <c r="D75" s="840" t="s">
        <v>2027</v>
      </c>
      <c r="E75" s="828"/>
      <c r="F75" s="828"/>
      <c r="G75" s="446" t="s">
        <v>966</v>
      </c>
      <c r="H75" s="830" t="s">
        <v>293</v>
      </c>
      <c r="I75" s="828"/>
      <c r="J75" s="828"/>
      <c r="K75" s="446" t="s">
        <v>316</v>
      </c>
      <c r="L75" s="830" t="s">
        <v>317</v>
      </c>
      <c r="M75" s="828"/>
      <c r="N75" s="446" t="s">
        <v>318</v>
      </c>
      <c r="O75" s="446" t="s">
        <v>293</v>
      </c>
      <c r="P75" s="446" t="s">
        <v>293</v>
      </c>
      <c r="Q75" s="841">
        <v>-20.09</v>
      </c>
      <c r="R75" s="828"/>
      <c r="S75" s="841">
        <v>-133.96</v>
      </c>
      <c r="T75" s="828"/>
      <c r="U75" s="842">
        <v>17</v>
      </c>
      <c r="V75" s="828"/>
      <c r="W75" s="828"/>
      <c r="X75" s="828"/>
      <c r="Y75" s="828"/>
      <c r="Z75" s="445"/>
      <c r="AA75" s="445"/>
      <c r="AB75" s="445"/>
    </row>
    <row r="76" spans="1:28" s="491" customFormat="1" ht="18" x14ac:dyDescent="0.25">
      <c r="A76" s="451" t="s">
        <v>1963</v>
      </c>
      <c r="B76" s="452" t="s">
        <v>311</v>
      </c>
      <c r="C76" s="451" t="s">
        <v>1964</v>
      </c>
      <c r="D76" s="844" t="s">
        <v>2028</v>
      </c>
      <c r="E76" s="845"/>
      <c r="F76" s="845"/>
      <c r="G76" s="452" t="s">
        <v>505</v>
      </c>
      <c r="H76" s="846" t="s">
        <v>1966</v>
      </c>
      <c r="I76" s="845"/>
      <c r="J76" s="845"/>
      <c r="K76" s="452" t="s">
        <v>316</v>
      </c>
      <c r="L76" s="846" t="s">
        <v>317</v>
      </c>
      <c r="M76" s="845"/>
      <c r="N76" s="452" t="s">
        <v>318</v>
      </c>
      <c r="O76" s="452" t="s">
        <v>293</v>
      </c>
      <c r="P76" s="452" t="s">
        <v>293</v>
      </c>
      <c r="Q76" s="847">
        <v>9.26</v>
      </c>
      <c r="R76" s="845"/>
      <c r="S76" s="847">
        <v>61.74</v>
      </c>
      <c r="T76" s="845"/>
      <c r="U76" s="848">
        <v>78.739999999999995</v>
      </c>
      <c r="V76" s="845"/>
      <c r="W76" s="845"/>
      <c r="X76" s="845"/>
      <c r="Y76" s="845"/>
      <c r="Z76" s="453"/>
      <c r="AA76" s="453"/>
      <c r="AB76" s="453" t="s">
        <v>563</v>
      </c>
    </row>
    <row r="77" spans="1:28" x14ac:dyDescent="0.25">
      <c r="A77" s="831" t="s">
        <v>293</v>
      </c>
      <c r="B77" s="828"/>
      <c r="C77" s="828"/>
      <c r="D77" s="828"/>
      <c r="E77" s="831" t="s">
        <v>415</v>
      </c>
      <c r="F77" s="828"/>
      <c r="G77" s="828"/>
      <c r="H77" s="831" t="s">
        <v>293</v>
      </c>
      <c r="I77" s="828"/>
      <c r="J77" s="828"/>
      <c r="K77" s="828"/>
      <c r="L77" s="828"/>
      <c r="M77" s="828"/>
      <c r="N77" s="449" t="s">
        <v>293</v>
      </c>
      <c r="O77" s="449" t="s">
        <v>293</v>
      </c>
      <c r="P77" s="449" t="s">
        <v>293</v>
      </c>
      <c r="Q77" s="843">
        <v>11.81</v>
      </c>
      <c r="R77" s="828"/>
      <c r="S77" s="843">
        <v>78.739999999999995</v>
      </c>
      <c r="T77" s="828"/>
      <c r="U77" s="843">
        <v>78.739999999999995</v>
      </c>
      <c r="V77" s="828"/>
      <c r="W77" s="828"/>
      <c r="X77" s="828"/>
      <c r="Y77" s="828"/>
      <c r="Z77" s="445"/>
      <c r="AA77" s="445"/>
      <c r="AB77" s="445"/>
    </row>
    <row r="78" spans="1:28" ht="24" customHeight="1" x14ac:dyDescent="0.25">
      <c r="A78" s="833" t="s">
        <v>293</v>
      </c>
      <c r="B78" s="828"/>
      <c r="C78" s="828"/>
      <c r="D78" s="828"/>
      <c r="E78" s="828"/>
      <c r="F78" s="828"/>
      <c r="G78" s="828"/>
      <c r="H78" s="828"/>
      <c r="I78" s="828"/>
      <c r="J78" s="828"/>
      <c r="K78" s="828"/>
      <c r="L78" s="828"/>
      <c r="M78" s="828"/>
      <c r="N78" s="828"/>
      <c r="O78" s="828"/>
      <c r="P78" s="828"/>
      <c r="Q78" s="828"/>
      <c r="R78" s="828"/>
      <c r="S78" s="828"/>
      <c r="T78" s="828"/>
      <c r="U78" s="828"/>
      <c r="V78" s="828"/>
      <c r="W78" s="828"/>
      <c r="X78" s="828"/>
      <c r="Y78" s="828"/>
      <c r="Z78" s="445"/>
      <c r="AA78" s="445"/>
      <c r="AB78" s="445"/>
    </row>
    <row r="79" spans="1:28" ht="12" customHeight="1" x14ac:dyDescent="0.25">
      <c r="A79" s="831" t="s">
        <v>307</v>
      </c>
      <c r="B79" s="828"/>
      <c r="C79" s="449" t="s">
        <v>293</v>
      </c>
      <c r="D79" s="449" t="s">
        <v>1553</v>
      </c>
      <c r="E79" s="831" t="s">
        <v>2029</v>
      </c>
      <c r="F79" s="828"/>
      <c r="G79" s="828"/>
      <c r="H79" s="831" t="s">
        <v>293</v>
      </c>
      <c r="I79" s="828"/>
      <c r="J79" s="828"/>
      <c r="K79" s="828"/>
      <c r="L79" s="828"/>
      <c r="M79" s="828"/>
      <c r="N79" s="828"/>
      <c r="O79" s="828"/>
      <c r="P79" s="828"/>
      <c r="Q79" s="828"/>
      <c r="R79" s="828"/>
      <c r="S79" s="828"/>
      <c r="T79" s="828"/>
      <c r="U79" s="843">
        <v>0</v>
      </c>
      <c r="V79" s="828"/>
      <c r="W79" s="828"/>
      <c r="X79" s="828"/>
      <c r="Y79" s="828"/>
      <c r="Z79" s="445"/>
      <c r="AA79" s="445"/>
      <c r="AB79" s="445"/>
    </row>
    <row r="80" spans="1:28" x14ac:dyDescent="0.25">
      <c r="A80" s="450" t="s">
        <v>1963</v>
      </c>
      <c r="B80" s="446" t="s">
        <v>325</v>
      </c>
      <c r="C80" s="450" t="s">
        <v>2030</v>
      </c>
      <c r="D80" s="840" t="s">
        <v>2031</v>
      </c>
      <c r="E80" s="828"/>
      <c r="F80" s="828"/>
      <c r="G80" s="446" t="s">
        <v>293</v>
      </c>
      <c r="H80" s="830" t="s">
        <v>293</v>
      </c>
      <c r="I80" s="828"/>
      <c r="J80" s="828"/>
      <c r="K80" s="446" t="s">
        <v>316</v>
      </c>
      <c r="L80" s="830" t="s">
        <v>317</v>
      </c>
      <c r="M80" s="828"/>
      <c r="N80" s="446" t="s">
        <v>318</v>
      </c>
      <c r="O80" s="446" t="s">
        <v>293</v>
      </c>
      <c r="P80" s="446" t="s">
        <v>293</v>
      </c>
      <c r="Q80" s="841">
        <v>0</v>
      </c>
      <c r="R80" s="828"/>
      <c r="S80" s="841">
        <v>-226</v>
      </c>
      <c r="T80" s="828"/>
      <c r="U80" s="842">
        <v>-226</v>
      </c>
      <c r="V80" s="828"/>
      <c r="W80" s="828"/>
      <c r="X80" s="828"/>
      <c r="Y80" s="828"/>
      <c r="Z80" s="445"/>
      <c r="AA80" s="445"/>
      <c r="AB80" s="445"/>
    </row>
    <row r="81" spans="1:25" x14ac:dyDescent="0.25">
      <c r="A81" s="831" t="s">
        <v>293</v>
      </c>
      <c r="B81" s="828"/>
      <c r="C81" s="828"/>
      <c r="D81" s="828"/>
      <c r="E81" s="831" t="s">
        <v>2029</v>
      </c>
      <c r="F81" s="828"/>
      <c r="G81" s="828"/>
      <c r="H81" s="831" t="s">
        <v>293</v>
      </c>
      <c r="I81" s="828"/>
      <c r="J81" s="828"/>
      <c r="K81" s="828"/>
      <c r="L81" s="828"/>
      <c r="M81" s="828"/>
      <c r="N81" s="449" t="s">
        <v>293</v>
      </c>
      <c r="O81" s="449" t="s">
        <v>293</v>
      </c>
      <c r="P81" s="449" t="s">
        <v>293</v>
      </c>
      <c r="Q81" s="843">
        <v>0</v>
      </c>
      <c r="R81" s="828"/>
      <c r="S81" s="843">
        <v>-226</v>
      </c>
      <c r="T81" s="828"/>
      <c r="U81" s="843">
        <v>-226</v>
      </c>
      <c r="V81" s="828"/>
      <c r="W81" s="828"/>
      <c r="X81" s="828"/>
      <c r="Y81" s="828"/>
    </row>
    <row r="82" spans="1:25" ht="24" customHeight="1" x14ac:dyDescent="0.25">
      <c r="A82" s="833" t="s">
        <v>293</v>
      </c>
      <c r="B82" s="828"/>
      <c r="C82" s="828"/>
      <c r="D82" s="828"/>
      <c r="E82" s="828"/>
      <c r="F82" s="828"/>
      <c r="G82" s="828"/>
      <c r="H82" s="828"/>
      <c r="I82" s="828"/>
      <c r="J82" s="828"/>
      <c r="K82" s="828"/>
      <c r="L82" s="828"/>
      <c r="M82" s="828"/>
      <c r="N82" s="828"/>
      <c r="O82" s="828"/>
      <c r="P82" s="828"/>
      <c r="Q82" s="828"/>
      <c r="R82" s="828"/>
      <c r="S82" s="828"/>
      <c r="T82" s="828"/>
      <c r="U82" s="828"/>
      <c r="V82" s="828"/>
      <c r="W82" s="828"/>
      <c r="X82" s="828"/>
      <c r="Y82" s="828"/>
    </row>
    <row r="83" spans="1:25" ht="12" customHeight="1" x14ac:dyDescent="0.25">
      <c r="A83" s="831" t="s">
        <v>307</v>
      </c>
      <c r="B83" s="828"/>
      <c r="C83" s="449" t="s">
        <v>293</v>
      </c>
      <c r="D83" s="449" t="s">
        <v>425</v>
      </c>
      <c r="E83" s="831" t="s">
        <v>426</v>
      </c>
      <c r="F83" s="828"/>
      <c r="G83" s="828"/>
      <c r="H83" s="831" t="s">
        <v>293</v>
      </c>
      <c r="I83" s="828"/>
      <c r="J83" s="828"/>
      <c r="K83" s="828"/>
      <c r="L83" s="828"/>
      <c r="M83" s="828"/>
      <c r="N83" s="828"/>
      <c r="O83" s="828"/>
      <c r="P83" s="828"/>
      <c r="Q83" s="828"/>
      <c r="R83" s="828"/>
      <c r="S83" s="828"/>
      <c r="T83" s="828"/>
      <c r="U83" s="843">
        <v>0</v>
      </c>
      <c r="V83" s="828"/>
      <c r="W83" s="828"/>
      <c r="X83" s="828"/>
      <c r="Y83" s="828"/>
    </row>
    <row r="84" spans="1:25" ht="18" x14ac:dyDescent="0.25">
      <c r="A84" s="450" t="s">
        <v>1989</v>
      </c>
      <c r="B84" s="446" t="s">
        <v>311</v>
      </c>
      <c r="C84" s="450" t="s">
        <v>2032</v>
      </c>
      <c r="D84" s="840" t="s">
        <v>2033</v>
      </c>
      <c r="E84" s="828"/>
      <c r="F84" s="828"/>
      <c r="G84" s="446" t="s">
        <v>2034</v>
      </c>
      <c r="H84" s="830" t="s">
        <v>2035</v>
      </c>
      <c r="I84" s="828"/>
      <c r="J84" s="828"/>
      <c r="K84" s="446" t="s">
        <v>316</v>
      </c>
      <c r="L84" s="830" t="s">
        <v>317</v>
      </c>
      <c r="M84" s="828"/>
      <c r="N84" s="446" t="s">
        <v>318</v>
      </c>
      <c r="O84" s="446" t="s">
        <v>293</v>
      </c>
      <c r="P84" s="446" t="s">
        <v>293</v>
      </c>
      <c r="Q84" s="841">
        <v>6.17</v>
      </c>
      <c r="R84" s="828"/>
      <c r="S84" s="841">
        <v>41.12</v>
      </c>
      <c r="T84" s="828"/>
      <c r="U84" s="842">
        <v>41.12</v>
      </c>
      <c r="V84" s="828"/>
      <c r="W84" s="828"/>
      <c r="X84" s="828"/>
      <c r="Y84" s="828"/>
    </row>
    <row r="85" spans="1:25" x14ac:dyDescent="0.25">
      <c r="A85" s="831" t="s">
        <v>293</v>
      </c>
      <c r="B85" s="828"/>
      <c r="C85" s="828"/>
      <c r="D85" s="828"/>
      <c r="E85" s="831" t="s">
        <v>426</v>
      </c>
      <c r="F85" s="828"/>
      <c r="G85" s="828"/>
      <c r="H85" s="831" t="s">
        <v>293</v>
      </c>
      <c r="I85" s="828"/>
      <c r="J85" s="828"/>
      <c r="K85" s="828"/>
      <c r="L85" s="828"/>
      <c r="M85" s="828"/>
      <c r="N85" s="449" t="s">
        <v>293</v>
      </c>
      <c r="O85" s="449" t="s">
        <v>293</v>
      </c>
      <c r="P85" s="449" t="s">
        <v>293</v>
      </c>
      <c r="Q85" s="843">
        <v>6.17</v>
      </c>
      <c r="R85" s="828"/>
      <c r="S85" s="843">
        <v>41.12</v>
      </c>
      <c r="T85" s="828"/>
      <c r="U85" s="843">
        <v>41.12</v>
      </c>
      <c r="V85" s="828"/>
      <c r="W85" s="828"/>
      <c r="X85" s="828"/>
      <c r="Y85" s="828"/>
    </row>
    <row r="86" spans="1:25" ht="24" customHeight="1" x14ac:dyDescent="0.25">
      <c r="A86" s="833" t="s">
        <v>293</v>
      </c>
      <c r="B86" s="828"/>
      <c r="C86" s="828"/>
      <c r="D86" s="828"/>
      <c r="E86" s="828"/>
      <c r="F86" s="828"/>
      <c r="G86" s="828"/>
      <c r="H86" s="828"/>
      <c r="I86" s="828"/>
      <c r="J86" s="828"/>
      <c r="K86" s="828"/>
      <c r="L86" s="828"/>
      <c r="M86" s="828"/>
      <c r="N86" s="828"/>
      <c r="O86" s="828"/>
      <c r="P86" s="828"/>
      <c r="Q86" s="828"/>
      <c r="R86" s="828"/>
      <c r="S86" s="828"/>
      <c r="T86" s="828"/>
      <c r="U86" s="828"/>
      <c r="V86" s="828"/>
      <c r="W86" s="828"/>
      <c r="X86" s="828"/>
      <c r="Y86" s="828"/>
    </row>
    <row r="87" spans="1:25" ht="12" customHeight="1" x14ac:dyDescent="0.25">
      <c r="A87" s="831" t="s">
        <v>307</v>
      </c>
      <c r="B87" s="828"/>
      <c r="C87" s="449" t="s">
        <v>293</v>
      </c>
      <c r="D87" s="449" t="s">
        <v>662</v>
      </c>
      <c r="E87" s="831" t="s">
        <v>663</v>
      </c>
      <c r="F87" s="828"/>
      <c r="G87" s="828"/>
      <c r="H87" s="831" t="s">
        <v>293</v>
      </c>
      <c r="I87" s="828"/>
      <c r="J87" s="828"/>
      <c r="K87" s="828"/>
      <c r="L87" s="828"/>
      <c r="M87" s="828"/>
      <c r="N87" s="828"/>
      <c r="O87" s="828"/>
      <c r="P87" s="828"/>
      <c r="Q87" s="828"/>
      <c r="R87" s="828"/>
      <c r="S87" s="828"/>
      <c r="T87" s="828"/>
      <c r="U87" s="843">
        <v>0</v>
      </c>
      <c r="V87" s="828"/>
      <c r="W87" s="828"/>
      <c r="X87" s="828"/>
      <c r="Y87" s="828"/>
    </row>
    <row r="88" spans="1:25" x14ac:dyDescent="0.25">
      <c r="A88" s="450" t="s">
        <v>2036</v>
      </c>
      <c r="B88" s="446" t="s">
        <v>311</v>
      </c>
      <c r="C88" s="450" t="s">
        <v>2037</v>
      </c>
      <c r="D88" s="840" t="s">
        <v>2038</v>
      </c>
      <c r="E88" s="828"/>
      <c r="F88" s="828"/>
      <c r="G88" s="446" t="s">
        <v>481</v>
      </c>
      <c r="H88" s="830" t="s">
        <v>2039</v>
      </c>
      <c r="I88" s="828"/>
      <c r="J88" s="828"/>
      <c r="K88" s="446" t="s">
        <v>316</v>
      </c>
      <c r="L88" s="830" t="s">
        <v>317</v>
      </c>
      <c r="M88" s="828"/>
      <c r="N88" s="446" t="s">
        <v>318</v>
      </c>
      <c r="O88" s="446" t="s">
        <v>293</v>
      </c>
      <c r="P88" s="446" t="s">
        <v>293</v>
      </c>
      <c r="Q88" s="841">
        <v>8.81</v>
      </c>
      <c r="R88" s="828"/>
      <c r="S88" s="841">
        <v>58.7</v>
      </c>
      <c r="T88" s="828"/>
      <c r="U88" s="842">
        <v>58.7</v>
      </c>
      <c r="V88" s="828"/>
      <c r="W88" s="828"/>
      <c r="X88" s="828"/>
      <c r="Y88" s="828"/>
    </row>
    <row r="89" spans="1:25" ht="18" x14ac:dyDescent="0.25">
      <c r="A89" s="450" t="s">
        <v>2040</v>
      </c>
      <c r="B89" s="446" t="s">
        <v>311</v>
      </c>
      <c r="C89" s="450" t="s">
        <v>2041</v>
      </c>
      <c r="D89" s="840" t="s">
        <v>2042</v>
      </c>
      <c r="E89" s="828"/>
      <c r="F89" s="828"/>
      <c r="G89" s="446" t="s">
        <v>342</v>
      </c>
      <c r="H89" s="830" t="s">
        <v>2043</v>
      </c>
      <c r="I89" s="828"/>
      <c r="J89" s="828"/>
      <c r="K89" s="446" t="s">
        <v>316</v>
      </c>
      <c r="L89" s="830" t="s">
        <v>317</v>
      </c>
      <c r="M89" s="828"/>
      <c r="N89" s="446" t="s">
        <v>318</v>
      </c>
      <c r="O89" s="446" t="s">
        <v>293</v>
      </c>
      <c r="P89" s="446" t="s">
        <v>293</v>
      </c>
      <c r="Q89" s="841">
        <v>34.85</v>
      </c>
      <c r="R89" s="828"/>
      <c r="S89" s="841">
        <v>232.3</v>
      </c>
      <c r="T89" s="828"/>
      <c r="U89" s="842">
        <v>291</v>
      </c>
      <c r="V89" s="828"/>
      <c r="W89" s="828"/>
      <c r="X89" s="828"/>
      <c r="Y89" s="828"/>
    </row>
    <row r="90" spans="1:25" x14ac:dyDescent="0.25">
      <c r="A90" s="450" t="s">
        <v>1955</v>
      </c>
      <c r="B90" s="446" t="s">
        <v>311</v>
      </c>
      <c r="C90" s="450" t="s">
        <v>2044</v>
      </c>
      <c r="D90" s="840" t="s">
        <v>2045</v>
      </c>
      <c r="E90" s="828"/>
      <c r="F90" s="828"/>
      <c r="G90" s="446" t="s">
        <v>481</v>
      </c>
      <c r="H90" s="830" t="s">
        <v>2046</v>
      </c>
      <c r="I90" s="828"/>
      <c r="J90" s="828"/>
      <c r="K90" s="446" t="s">
        <v>316</v>
      </c>
      <c r="L90" s="830" t="s">
        <v>317</v>
      </c>
      <c r="M90" s="828"/>
      <c r="N90" s="446" t="s">
        <v>318</v>
      </c>
      <c r="O90" s="446" t="s">
        <v>293</v>
      </c>
      <c r="P90" s="446" t="s">
        <v>293</v>
      </c>
      <c r="Q90" s="841">
        <v>10.7</v>
      </c>
      <c r="R90" s="828"/>
      <c r="S90" s="841">
        <v>71.3</v>
      </c>
      <c r="T90" s="828"/>
      <c r="U90" s="842">
        <v>362.3</v>
      </c>
      <c r="V90" s="828"/>
      <c r="W90" s="828"/>
      <c r="X90" s="828"/>
      <c r="Y90" s="828"/>
    </row>
    <row r="91" spans="1:25" x14ac:dyDescent="0.25">
      <c r="A91" s="831" t="s">
        <v>293</v>
      </c>
      <c r="B91" s="828"/>
      <c r="C91" s="828"/>
      <c r="D91" s="828"/>
      <c r="E91" s="831" t="s">
        <v>663</v>
      </c>
      <c r="F91" s="828"/>
      <c r="G91" s="828"/>
      <c r="H91" s="831" t="s">
        <v>293</v>
      </c>
      <c r="I91" s="828"/>
      <c r="J91" s="828"/>
      <c r="K91" s="828"/>
      <c r="L91" s="828"/>
      <c r="M91" s="828"/>
      <c r="N91" s="449" t="s">
        <v>293</v>
      </c>
      <c r="O91" s="449" t="s">
        <v>293</v>
      </c>
      <c r="P91" s="449" t="s">
        <v>293</v>
      </c>
      <c r="Q91" s="843">
        <v>54.36</v>
      </c>
      <c r="R91" s="828"/>
      <c r="S91" s="843">
        <v>362.3</v>
      </c>
      <c r="T91" s="828"/>
      <c r="U91" s="843">
        <v>362.3</v>
      </c>
      <c r="V91" s="828"/>
      <c r="W91" s="828"/>
      <c r="X91" s="828"/>
      <c r="Y91" s="828"/>
    </row>
    <row r="92" spans="1:25" ht="24" customHeight="1" x14ac:dyDescent="0.25">
      <c r="A92" s="833" t="s">
        <v>293</v>
      </c>
      <c r="B92" s="828"/>
      <c r="C92" s="828"/>
      <c r="D92" s="828"/>
      <c r="E92" s="828"/>
      <c r="F92" s="828"/>
      <c r="G92" s="828"/>
      <c r="H92" s="828"/>
      <c r="I92" s="828"/>
      <c r="J92" s="828"/>
      <c r="K92" s="828"/>
      <c r="L92" s="828"/>
      <c r="M92" s="828"/>
      <c r="N92" s="828"/>
      <c r="O92" s="828"/>
      <c r="P92" s="828"/>
      <c r="Q92" s="828"/>
      <c r="R92" s="828"/>
      <c r="S92" s="828"/>
      <c r="T92" s="828"/>
      <c r="U92" s="828"/>
      <c r="V92" s="828"/>
      <c r="W92" s="828"/>
      <c r="X92" s="828"/>
      <c r="Y92" s="828"/>
    </row>
    <row r="93" spans="1:25" ht="12" customHeight="1" x14ac:dyDescent="0.25">
      <c r="A93" s="831" t="s">
        <v>307</v>
      </c>
      <c r="B93" s="828"/>
      <c r="C93" s="449" t="s">
        <v>293</v>
      </c>
      <c r="D93" s="449" t="s">
        <v>432</v>
      </c>
      <c r="E93" s="831" t="s">
        <v>433</v>
      </c>
      <c r="F93" s="828"/>
      <c r="G93" s="828"/>
      <c r="H93" s="831" t="s">
        <v>293</v>
      </c>
      <c r="I93" s="828"/>
      <c r="J93" s="828"/>
      <c r="K93" s="828"/>
      <c r="L93" s="828"/>
      <c r="M93" s="828"/>
      <c r="N93" s="828"/>
      <c r="O93" s="828"/>
      <c r="P93" s="828"/>
      <c r="Q93" s="828"/>
      <c r="R93" s="828"/>
      <c r="S93" s="828"/>
      <c r="T93" s="828"/>
      <c r="U93" s="843">
        <v>0</v>
      </c>
      <c r="V93" s="828"/>
      <c r="W93" s="828"/>
      <c r="X93" s="828"/>
      <c r="Y93" s="828"/>
    </row>
    <row r="94" spans="1:25" x14ac:dyDescent="0.25">
      <c r="A94" s="450" t="s">
        <v>2047</v>
      </c>
      <c r="B94" s="446" t="s">
        <v>311</v>
      </c>
      <c r="C94" s="450" t="s">
        <v>2048</v>
      </c>
      <c r="D94" s="840" t="s">
        <v>2049</v>
      </c>
      <c r="E94" s="828"/>
      <c r="F94" s="828"/>
      <c r="G94" s="446" t="s">
        <v>2050</v>
      </c>
      <c r="H94" s="830" t="s">
        <v>2051</v>
      </c>
      <c r="I94" s="828"/>
      <c r="J94" s="828"/>
      <c r="K94" s="446" t="s">
        <v>316</v>
      </c>
      <c r="L94" s="830" t="s">
        <v>317</v>
      </c>
      <c r="M94" s="828"/>
      <c r="N94" s="446" t="s">
        <v>318</v>
      </c>
      <c r="O94" s="446" t="s">
        <v>293</v>
      </c>
      <c r="P94" s="446" t="s">
        <v>293</v>
      </c>
      <c r="Q94" s="841">
        <v>1116</v>
      </c>
      <c r="R94" s="828"/>
      <c r="S94" s="841">
        <v>7440</v>
      </c>
      <c r="T94" s="828"/>
      <c r="U94" s="842">
        <v>7440</v>
      </c>
      <c r="V94" s="828"/>
      <c r="W94" s="828"/>
      <c r="X94" s="828"/>
      <c r="Y94" s="828"/>
    </row>
    <row r="95" spans="1:25" x14ac:dyDescent="0.25">
      <c r="A95" s="450" t="s">
        <v>1961</v>
      </c>
      <c r="B95" s="446" t="s">
        <v>311</v>
      </c>
      <c r="C95" s="450" t="s">
        <v>2052</v>
      </c>
      <c r="D95" s="840" t="s">
        <v>2053</v>
      </c>
      <c r="E95" s="828"/>
      <c r="F95" s="828"/>
      <c r="G95" s="446" t="s">
        <v>2050</v>
      </c>
      <c r="H95" s="830" t="s">
        <v>2054</v>
      </c>
      <c r="I95" s="828"/>
      <c r="J95" s="828"/>
      <c r="K95" s="446" t="s">
        <v>316</v>
      </c>
      <c r="L95" s="830" t="s">
        <v>317</v>
      </c>
      <c r="M95" s="828"/>
      <c r="N95" s="446" t="s">
        <v>318</v>
      </c>
      <c r="O95" s="446" t="s">
        <v>293</v>
      </c>
      <c r="P95" s="446" t="s">
        <v>293</v>
      </c>
      <c r="Q95" s="841">
        <v>1386</v>
      </c>
      <c r="R95" s="828"/>
      <c r="S95" s="841">
        <v>9240</v>
      </c>
      <c r="T95" s="828"/>
      <c r="U95" s="842">
        <v>16680</v>
      </c>
      <c r="V95" s="828"/>
      <c r="W95" s="828"/>
      <c r="X95" s="828"/>
      <c r="Y95" s="828"/>
    </row>
    <row r="96" spans="1:25" x14ac:dyDescent="0.25">
      <c r="A96" s="450" t="s">
        <v>2055</v>
      </c>
      <c r="B96" s="446" t="s">
        <v>311</v>
      </c>
      <c r="C96" s="450" t="s">
        <v>2056</v>
      </c>
      <c r="D96" s="840" t="s">
        <v>2057</v>
      </c>
      <c r="E96" s="828"/>
      <c r="F96" s="828"/>
      <c r="G96" s="446" t="s">
        <v>2050</v>
      </c>
      <c r="H96" s="830" t="s">
        <v>2058</v>
      </c>
      <c r="I96" s="828"/>
      <c r="J96" s="828"/>
      <c r="K96" s="446" t="s">
        <v>316</v>
      </c>
      <c r="L96" s="830" t="s">
        <v>317</v>
      </c>
      <c r="M96" s="828"/>
      <c r="N96" s="446" t="s">
        <v>318</v>
      </c>
      <c r="O96" s="446" t="s">
        <v>293</v>
      </c>
      <c r="P96" s="446" t="s">
        <v>293</v>
      </c>
      <c r="Q96" s="841">
        <v>1800</v>
      </c>
      <c r="R96" s="828"/>
      <c r="S96" s="841">
        <v>12000</v>
      </c>
      <c r="T96" s="828"/>
      <c r="U96" s="842">
        <v>28680</v>
      </c>
      <c r="V96" s="828"/>
      <c r="W96" s="828"/>
      <c r="X96" s="828"/>
      <c r="Y96" s="828"/>
    </row>
    <row r="97" spans="1:25" x14ac:dyDescent="0.25">
      <c r="A97" s="831" t="s">
        <v>293</v>
      </c>
      <c r="B97" s="828"/>
      <c r="C97" s="828"/>
      <c r="D97" s="828"/>
      <c r="E97" s="831" t="s">
        <v>433</v>
      </c>
      <c r="F97" s="828"/>
      <c r="G97" s="828"/>
      <c r="H97" s="831" t="s">
        <v>293</v>
      </c>
      <c r="I97" s="828"/>
      <c r="J97" s="828"/>
      <c r="K97" s="828"/>
      <c r="L97" s="828"/>
      <c r="M97" s="828"/>
      <c r="N97" s="449" t="s">
        <v>293</v>
      </c>
      <c r="O97" s="449" t="s">
        <v>293</v>
      </c>
      <c r="P97" s="449" t="s">
        <v>293</v>
      </c>
      <c r="Q97" s="843">
        <v>4302</v>
      </c>
      <c r="R97" s="828"/>
      <c r="S97" s="843">
        <v>28680</v>
      </c>
      <c r="T97" s="828"/>
      <c r="U97" s="843">
        <v>28680</v>
      </c>
      <c r="V97" s="828"/>
      <c r="W97" s="828"/>
      <c r="X97" s="828"/>
      <c r="Y97" s="828"/>
    </row>
    <row r="98" spans="1:25" ht="24" customHeight="1" x14ac:dyDescent="0.25">
      <c r="A98" s="833" t="s">
        <v>293</v>
      </c>
      <c r="B98" s="828"/>
      <c r="C98" s="828"/>
      <c r="D98" s="828"/>
      <c r="E98" s="828"/>
      <c r="F98" s="828"/>
      <c r="G98" s="828"/>
      <c r="H98" s="828"/>
      <c r="I98" s="828"/>
      <c r="J98" s="828"/>
      <c r="K98" s="828"/>
      <c r="L98" s="828"/>
      <c r="M98" s="828"/>
      <c r="N98" s="828"/>
      <c r="O98" s="828"/>
      <c r="P98" s="828"/>
      <c r="Q98" s="828"/>
      <c r="R98" s="828"/>
      <c r="S98" s="828"/>
      <c r="T98" s="828"/>
      <c r="U98" s="828"/>
      <c r="V98" s="828"/>
      <c r="W98" s="828"/>
      <c r="X98" s="828"/>
      <c r="Y98" s="828"/>
    </row>
    <row r="99" spans="1:25" ht="0" hidden="1" customHeight="1" x14ac:dyDescent="0.25">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row>
  </sheetData>
  <mergeCells count="444">
    <mergeCell ref="A98:Y98"/>
    <mergeCell ref="A97:D97"/>
    <mergeCell ref="E97:G97"/>
    <mergeCell ref="H97:M97"/>
    <mergeCell ref="Q97:R97"/>
    <mergeCell ref="S97:T97"/>
    <mergeCell ref="U97:Y97"/>
    <mergeCell ref="D96:F96"/>
    <mergeCell ref="H96:J96"/>
    <mergeCell ref="L96:M96"/>
    <mergeCell ref="Q96:R96"/>
    <mergeCell ref="S96:T96"/>
    <mergeCell ref="U96:Y96"/>
    <mergeCell ref="U94:Y94"/>
    <mergeCell ref="D95:F95"/>
    <mergeCell ref="H95:J95"/>
    <mergeCell ref="L95:M95"/>
    <mergeCell ref="Q95:R95"/>
    <mergeCell ref="S95:T95"/>
    <mergeCell ref="U95:Y95"/>
    <mergeCell ref="A92:Y92"/>
    <mergeCell ref="A93:B93"/>
    <mergeCell ref="E93:G93"/>
    <mergeCell ref="H93:T93"/>
    <mergeCell ref="U93:Y93"/>
    <mergeCell ref="D94:F94"/>
    <mergeCell ref="H94:J94"/>
    <mergeCell ref="L94:M94"/>
    <mergeCell ref="Q94:R94"/>
    <mergeCell ref="S94:T94"/>
    <mergeCell ref="A91:D91"/>
    <mergeCell ref="E91:G91"/>
    <mergeCell ref="H91:M91"/>
    <mergeCell ref="Q91:R91"/>
    <mergeCell ref="S91:T91"/>
    <mergeCell ref="U91:Y91"/>
    <mergeCell ref="D90:F90"/>
    <mergeCell ref="H90:J90"/>
    <mergeCell ref="L90:M90"/>
    <mergeCell ref="Q90:R90"/>
    <mergeCell ref="S90:T90"/>
    <mergeCell ref="U90:Y90"/>
    <mergeCell ref="U88:Y88"/>
    <mergeCell ref="D89:F89"/>
    <mergeCell ref="H89:J89"/>
    <mergeCell ref="L89:M89"/>
    <mergeCell ref="Q89:R89"/>
    <mergeCell ref="S89:T89"/>
    <mergeCell ref="U89:Y89"/>
    <mergeCell ref="A86:Y86"/>
    <mergeCell ref="A87:B87"/>
    <mergeCell ref="E87:G87"/>
    <mergeCell ref="H87:T87"/>
    <mergeCell ref="U87:Y87"/>
    <mergeCell ref="D88:F88"/>
    <mergeCell ref="H88:J88"/>
    <mergeCell ref="L88:M88"/>
    <mergeCell ref="Q88:R88"/>
    <mergeCell ref="S88:T88"/>
    <mergeCell ref="U84:Y84"/>
    <mergeCell ref="A85:D85"/>
    <mergeCell ref="E85:G85"/>
    <mergeCell ref="H85:M85"/>
    <mergeCell ref="Q85:R85"/>
    <mergeCell ref="S85:T85"/>
    <mergeCell ref="U85:Y85"/>
    <mergeCell ref="A82:Y82"/>
    <mergeCell ref="A83:B83"/>
    <mergeCell ref="E83:G83"/>
    <mergeCell ref="H83:T83"/>
    <mergeCell ref="U83:Y83"/>
    <mergeCell ref="D84:F84"/>
    <mergeCell ref="H84:J84"/>
    <mergeCell ref="L84:M84"/>
    <mergeCell ref="Q84:R84"/>
    <mergeCell ref="S84:T84"/>
    <mergeCell ref="U80:Y80"/>
    <mergeCell ref="A81:D81"/>
    <mergeCell ref="E81:G81"/>
    <mergeCell ref="H81:M81"/>
    <mergeCell ref="Q81:R81"/>
    <mergeCell ref="S81:T81"/>
    <mergeCell ref="U81:Y81"/>
    <mergeCell ref="A78:Y78"/>
    <mergeCell ref="A79:B79"/>
    <mergeCell ref="E79:G79"/>
    <mergeCell ref="H79:T79"/>
    <mergeCell ref="U79:Y79"/>
    <mergeCell ref="D80:F80"/>
    <mergeCell ref="H80:J80"/>
    <mergeCell ref="L80:M80"/>
    <mergeCell ref="Q80:R80"/>
    <mergeCell ref="S80:T80"/>
    <mergeCell ref="A77:D77"/>
    <mergeCell ref="E77:G77"/>
    <mergeCell ref="H77:M77"/>
    <mergeCell ref="Q77:R77"/>
    <mergeCell ref="S77:T77"/>
    <mergeCell ref="U77:Y77"/>
    <mergeCell ref="D76:F76"/>
    <mergeCell ref="H76:J76"/>
    <mergeCell ref="L76:M76"/>
    <mergeCell ref="Q76:R76"/>
    <mergeCell ref="S76:T76"/>
    <mergeCell ref="U76:Y76"/>
    <mergeCell ref="D75:F75"/>
    <mergeCell ref="H75:J75"/>
    <mergeCell ref="L75:M75"/>
    <mergeCell ref="Q75:R75"/>
    <mergeCell ref="S75:T75"/>
    <mergeCell ref="U75:Y75"/>
    <mergeCell ref="D74:F74"/>
    <mergeCell ref="H74:J74"/>
    <mergeCell ref="L74:M74"/>
    <mergeCell ref="Q74:R74"/>
    <mergeCell ref="S74:T74"/>
    <mergeCell ref="U74:Y74"/>
    <mergeCell ref="U72:Y72"/>
    <mergeCell ref="D73:F73"/>
    <mergeCell ref="H73:J73"/>
    <mergeCell ref="L73:M73"/>
    <mergeCell ref="Q73:R73"/>
    <mergeCell ref="S73:T73"/>
    <mergeCell ref="U73:Y73"/>
    <mergeCell ref="A70:Y70"/>
    <mergeCell ref="A71:B71"/>
    <mergeCell ref="E71:G71"/>
    <mergeCell ref="H71:T71"/>
    <mergeCell ref="U71:Y71"/>
    <mergeCell ref="D72:F72"/>
    <mergeCell ref="H72:J72"/>
    <mergeCell ref="L72:M72"/>
    <mergeCell ref="Q72:R72"/>
    <mergeCell ref="S72:T72"/>
    <mergeCell ref="A69:D69"/>
    <mergeCell ref="E69:G69"/>
    <mergeCell ref="H69:M69"/>
    <mergeCell ref="Q69:R69"/>
    <mergeCell ref="S69:T69"/>
    <mergeCell ref="U69:Y69"/>
    <mergeCell ref="D68:F68"/>
    <mergeCell ref="H68:J68"/>
    <mergeCell ref="L68:M68"/>
    <mergeCell ref="Q68:R68"/>
    <mergeCell ref="S68:T68"/>
    <mergeCell ref="U68:Y68"/>
    <mergeCell ref="D67:F67"/>
    <mergeCell ref="H67:J67"/>
    <mergeCell ref="L67:M67"/>
    <mergeCell ref="Q67:R67"/>
    <mergeCell ref="S67:T67"/>
    <mergeCell ref="U67:Y67"/>
    <mergeCell ref="D66:F66"/>
    <mergeCell ref="H66:J66"/>
    <mergeCell ref="L66:M66"/>
    <mergeCell ref="Q66:R66"/>
    <mergeCell ref="S66:T66"/>
    <mergeCell ref="U66:Y66"/>
    <mergeCell ref="D65:F65"/>
    <mergeCell ref="H65:J65"/>
    <mergeCell ref="L65:M65"/>
    <mergeCell ref="Q65:R65"/>
    <mergeCell ref="S65:T65"/>
    <mergeCell ref="U65:Y65"/>
    <mergeCell ref="U63:Y63"/>
    <mergeCell ref="D64:F64"/>
    <mergeCell ref="H64:J64"/>
    <mergeCell ref="L64:M64"/>
    <mergeCell ref="Q64:R64"/>
    <mergeCell ref="S64:T64"/>
    <mergeCell ref="U64:Y64"/>
    <mergeCell ref="A61:Y61"/>
    <mergeCell ref="A62:B62"/>
    <mergeCell ref="E62:G62"/>
    <mergeCell ref="H62:T62"/>
    <mergeCell ref="U62:Y62"/>
    <mergeCell ref="D63:F63"/>
    <mergeCell ref="H63:J63"/>
    <mergeCell ref="L63:M63"/>
    <mergeCell ref="Q63:R63"/>
    <mergeCell ref="S63:T63"/>
    <mergeCell ref="A60:D60"/>
    <mergeCell ref="E60:G60"/>
    <mergeCell ref="H60:M60"/>
    <mergeCell ref="Q60:R60"/>
    <mergeCell ref="S60:T60"/>
    <mergeCell ref="U60:Y60"/>
    <mergeCell ref="D59:F59"/>
    <mergeCell ref="H59:J59"/>
    <mergeCell ref="L59:M59"/>
    <mergeCell ref="Q59:R59"/>
    <mergeCell ref="S59:T59"/>
    <mergeCell ref="U59:Y59"/>
    <mergeCell ref="D58:F58"/>
    <mergeCell ref="H58:J58"/>
    <mergeCell ref="L58:M58"/>
    <mergeCell ref="Q58:R58"/>
    <mergeCell ref="S58:T58"/>
    <mergeCell ref="U58:Y58"/>
    <mergeCell ref="D57:F57"/>
    <mergeCell ref="H57:J57"/>
    <mergeCell ref="L57:M57"/>
    <mergeCell ref="Q57:R57"/>
    <mergeCell ref="S57:T57"/>
    <mergeCell ref="U57:Y57"/>
    <mergeCell ref="D56:F56"/>
    <mergeCell ref="H56:J56"/>
    <mergeCell ref="L56:M56"/>
    <mergeCell ref="Q56:R56"/>
    <mergeCell ref="S56:T56"/>
    <mergeCell ref="U56:Y56"/>
    <mergeCell ref="D55:F55"/>
    <mergeCell ref="H55:J55"/>
    <mergeCell ref="L55:M55"/>
    <mergeCell ref="Q55:R55"/>
    <mergeCell ref="S55:T55"/>
    <mergeCell ref="U55:Y55"/>
    <mergeCell ref="D54:F54"/>
    <mergeCell ref="H54:J54"/>
    <mergeCell ref="L54:M54"/>
    <mergeCell ref="Q54:R54"/>
    <mergeCell ref="S54:T54"/>
    <mergeCell ref="U54:Y54"/>
    <mergeCell ref="D53:F53"/>
    <mergeCell ref="H53:J53"/>
    <mergeCell ref="L53:M53"/>
    <mergeCell ref="Q53:R53"/>
    <mergeCell ref="S53:T53"/>
    <mergeCell ref="U53:Y53"/>
    <mergeCell ref="D52:F52"/>
    <mergeCell ref="H52:J52"/>
    <mergeCell ref="L52:M52"/>
    <mergeCell ref="Q52:R52"/>
    <mergeCell ref="S52:T52"/>
    <mergeCell ref="U52:Y52"/>
    <mergeCell ref="U50:Y50"/>
    <mergeCell ref="D51:F51"/>
    <mergeCell ref="H51:J51"/>
    <mergeCell ref="L51:M51"/>
    <mergeCell ref="Q51:R51"/>
    <mergeCell ref="S51:T51"/>
    <mergeCell ref="U51:Y51"/>
    <mergeCell ref="A48:Y48"/>
    <mergeCell ref="A49:B49"/>
    <mergeCell ref="E49:G49"/>
    <mergeCell ref="H49:T49"/>
    <mergeCell ref="U49:Y49"/>
    <mergeCell ref="D50:F50"/>
    <mergeCell ref="H50:J50"/>
    <mergeCell ref="L50:M50"/>
    <mergeCell ref="Q50:R50"/>
    <mergeCell ref="S50:T50"/>
    <mergeCell ref="A47:D47"/>
    <mergeCell ref="E47:G47"/>
    <mergeCell ref="H47:M47"/>
    <mergeCell ref="Q47:R47"/>
    <mergeCell ref="S47:T47"/>
    <mergeCell ref="U47:Y47"/>
    <mergeCell ref="D46:F46"/>
    <mergeCell ref="H46:J46"/>
    <mergeCell ref="L46:M46"/>
    <mergeCell ref="Q46:R46"/>
    <mergeCell ref="S46:T46"/>
    <mergeCell ref="U46:Y46"/>
    <mergeCell ref="D45:F45"/>
    <mergeCell ref="H45:J45"/>
    <mergeCell ref="L45:M45"/>
    <mergeCell ref="Q45:R45"/>
    <mergeCell ref="S45:T45"/>
    <mergeCell ref="U45:Y45"/>
    <mergeCell ref="D44:F44"/>
    <mergeCell ref="H44:J44"/>
    <mergeCell ref="L44:M44"/>
    <mergeCell ref="Q44:R44"/>
    <mergeCell ref="S44:T44"/>
    <mergeCell ref="U44:Y44"/>
    <mergeCell ref="D43:F43"/>
    <mergeCell ref="H43:J43"/>
    <mergeCell ref="L43:M43"/>
    <mergeCell ref="Q43:R43"/>
    <mergeCell ref="S43:T43"/>
    <mergeCell ref="U43:Y43"/>
    <mergeCell ref="D42:F42"/>
    <mergeCell ref="H42:J42"/>
    <mergeCell ref="L42:M42"/>
    <mergeCell ref="Q42:R42"/>
    <mergeCell ref="S42:T42"/>
    <mergeCell ref="U42:Y42"/>
    <mergeCell ref="U40:Y40"/>
    <mergeCell ref="D41:F41"/>
    <mergeCell ref="H41:J41"/>
    <mergeCell ref="L41:M41"/>
    <mergeCell ref="Q41:R41"/>
    <mergeCell ref="S41:T41"/>
    <mergeCell ref="U41:Y41"/>
    <mergeCell ref="A38:Y38"/>
    <mergeCell ref="A39:B39"/>
    <mergeCell ref="E39:G39"/>
    <mergeCell ref="H39:T39"/>
    <mergeCell ref="U39:Y39"/>
    <mergeCell ref="D40:F40"/>
    <mergeCell ref="H40:J40"/>
    <mergeCell ref="L40:M40"/>
    <mergeCell ref="Q40:R40"/>
    <mergeCell ref="S40:T40"/>
    <mergeCell ref="A37:D37"/>
    <mergeCell ref="E37:G37"/>
    <mergeCell ref="H37:M37"/>
    <mergeCell ref="Q37:R37"/>
    <mergeCell ref="S37:T37"/>
    <mergeCell ref="U37:Y37"/>
    <mergeCell ref="D36:F36"/>
    <mergeCell ref="H36:J36"/>
    <mergeCell ref="L36:M36"/>
    <mergeCell ref="Q36:R36"/>
    <mergeCell ref="S36:T36"/>
    <mergeCell ref="U36:Y36"/>
    <mergeCell ref="D35:F35"/>
    <mergeCell ref="H35:J35"/>
    <mergeCell ref="L35:M35"/>
    <mergeCell ref="Q35:R35"/>
    <mergeCell ref="S35:T35"/>
    <mergeCell ref="U35:Y35"/>
    <mergeCell ref="D34:F34"/>
    <mergeCell ref="H34:J34"/>
    <mergeCell ref="L34:M34"/>
    <mergeCell ref="Q34:R34"/>
    <mergeCell ref="S34:T34"/>
    <mergeCell ref="U34:Y34"/>
    <mergeCell ref="D33:F33"/>
    <mergeCell ref="H33:J33"/>
    <mergeCell ref="L33:M33"/>
    <mergeCell ref="Q33:R33"/>
    <mergeCell ref="S33:T33"/>
    <mergeCell ref="U33:Y33"/>
    <mergeCell ref="D32:F32"/>
    <mergeCell ref="H32:J32"/>
    <mergeCell ref="L32:M32"/>
    <mergeCell ref="Q32:R32"/>
    <mergeCell ref="S32:T32"/>
    <mergeCell ref="U32:Y32"/>
    <mergeCell ref="D31:F31"/>
    <mergeCell ref="H31:J31"/>
    <mergeCell ref="L31:M31"/>
    <mergeCell ref="Q31:R31"/>
    <mergeCell ref="S31:T31"/>
    <mergeCell ref="U31:Y31"/>
    <mergeCell ref="D30:F30"/>
    <mergeCell ref="H30:J30"/>
    <mergeCell ref="L30:M30"/>
    <mergeCell ref="Q30:R30"/>
    <mergeCell ref="S30:T30"/>
    <mergeCell ref="U30:Y30"/>
    <mergeCell ref="D29:F29"/>
    <mergeCell ref="H29:J29"/>
    <mergeCell ref="L29:M29"/>
    <mergeCell ref="Q29:R29"/>
    <mergeCell ref="S29:T29"/>
    <mergeCell ref="U29:Y29"/>
    <mergeCell ref="U27:Y27"/>
    <mergeCell ref="D28:F28"/>
    <mergeCell ref="H28:J28"/>
    <mergeCell ref="L28:M28"/>
    <mergeCell ref="Q28:R28"/>
    <mergeCell ref="S28:T28"/>
    <mergeCell ref="U28:Y28"/>
    <mergeCell ref="A25:Y25"/>
    <mergeCell ref="A26:B26"/>
    <mergeCell ref="E26:G26"/>
    <mergeCell ref="H26:T26"/>
    <mergeCell ref="U26:Y26"/>
    <mergeCell ref="D27:F27"/>
    <mergeCell ref="H27:J27"/>
    <mergeCell ref="L27:M27"/>
    <mergeCell ref="Q27:R27"/>
    <mergeCell ref="S27:T27"/>
    <mergeCell ref="A24:D24"/>
    <mergeCell ref="E24:G24"/>
    <mergeCell ref="H24:M24"/>
    <mergeCell ref="Q24:R24"/>
    <mergeCell ref="S24:T24"/>
    <mergeCell ref="U24:Y24"/>
    <mergeCell ref="U22:Y22"/>
    <mergeCell ref="D23:F23"/>
    <mergeCell ref="H23:J23"/>
    <mergeCell ref="L23:M23"/>
    <mergeCell ref="Q23:R23"/>
    <mergeCell ref="S23:T23"/>
    <mergeCell ref="U23:Y23"/>
    <mergeCell ref="A20:Y20"/>
    <mergeCell ref="A21:B21"/>
    <mergeCell ref="E21:G21"/>
    <mergeCell ref="H21:T21"/>
    <mergeCell ref="U21:Y21"/>
    <mergeCell ref="D22:F22"/>
    <mergeCell ref="H22:J22"/>
    <mergeCell ref="L22:M22"/>
    <mergeCell ref="Q22:R22"/>
    <mergeCell ref="S22:T22"/>
    <mergeCell ref="A19:D19"/>
    <mergeCell ref="E19:G19"/>
    <mergeCell ref="H19:M19"/>
    <mergeCell ref="Q19:R19"/>
    <mergeCell ref="S19:T19"/>
    <mergeCell ref="U19:Y19"/>
    <mergeCell ref="D18:F18"/>
    <mergeCell ref="H18:J18"/>
    <mergeCell ref="L18:M18"/>
    <mergeCell ref="Q18:R18"/>
    <mergeCell ref="S18:T18"/>
    <mergeCell ref="U18:Y18"/>
    <mergeCell ref="H12:Y12"/>
    <mergeCell ref="D13:F13"/>
    <mergeCell ref="H13:J13"/>
    <mergeCell ref="L13:M13"/>
    <mergeCell ref="Q13:R13"/>
    <mergeCell ref="S13:T13"/>
    <mergeCell ref="U13:Y13"/>
    <mergeCell ref="U16:Y16"/>
    <mergeCell ref="D17:F17"/>
    <mergeCell ref="H17:J17"/>
    <mergeCell ref="L17:M17"/>
    <mergeCell ref="Q17:R17"/>
    <mergeCell ref="S17:T17"/>
    <mergeCell ref="U17:Y17"/>
    <mergeCell ref="A14:Y14"/>
    <mergeCell ref="A15:B15"/>
    <mergeCell ref="E15:G15"/>
    <mergeCell ref="H15:T15"/>
    <mergeCell ref="U15:Y15"/>
    <mergeCell ref="D16:F16"/>
    <mergeCell ref="H16:J16"/>
    <mergeCell ref="L16:M16"/>
    <mergeCell ref="Q16:R16"/>
    <mergeCell ref="S16:T16"/>
    <mergeCell ref="A1:E1"/>
    <mergeCell ref="T1:W1"/>
    <mergeCell ref="A2:E2"/>
    <mergeCell ref="A4:E4"/>
    <mergeCell ref="R4:W4"/>
    <mergeCell ref="A6:I6"/>
    <mergeCell ref="A8:L8"/>
    <mergeCell ref="A9:H9"/>
    <mergeCell ref="I9:L9"/>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0025-D629-4426-875C-E1A6E2CE1CEB}">
  <dimension ref="A1:AB65"/>
  <sheetViews>
    <sheetView showGridLines="0" topLeftCell="D1" workbookViewId="0">
      <pane ySplit="7" topLeftCell="A56" activePane="bottomLeft" state="frozen"/>
      <selection activeCell="A23" sqref="A23:Y23"/>
      <selection pane="bottomLeft" activeCell="A23" sqref="A23:Y23"/>
    </sheetView>
  </sheetViews>
  <sheetFormatPr defaultColWidth="9.140625" defaultRowHeight="12" x14ac:dyDescent="0.2"/>
  <cols>
    <col min="1" max="1" width="13.42578125" style="511" customWidth="1"/>
    <col min="2" max="2" width="18.28515625" style="511" customWidth="1"/>
    <col min="3" max="3" width="20.7109375" style="511" customWidth="1"/>
    <col min="4" max="4" width="8.85546875" style="511" customWidth="1"/>
    <col min="5" max="5" width="37" style="511" customWidth="1"/>
    <col min="6" max="6" width="6.7109375" style="511" customWidth="1"/>
    <col min="7" max="7" width="17.28515625" style="511" customWidth="1"/>
    <col min="8" max="8" width="3.85546875" style="511" customWidth="1"/>
    <col min="9" max="9" width="0.140625" style="511" customWidth="1"/>
    <col min="10" max="10" width="15" style="511" customWidth="1"/>
    <col min="11" max="11" width="8.85546875" style="511" customWidth="1"/>
    <col min="12" max="12" width="6.7109375" style="511" customWidth="1"/>
    <col min="13" max="13" width="2.140625" style="511" customWidth="1"/>
    <col min="14" max="14" width="7.85546875" style="511" customWidth="1"/>
    <col min="15" max="15" width="8.5703125" style="511" customWidth="1"/>
    <col min="16" max="16" width="9.140625" style="511" customWidth="1"/>
    <col min="17" max="17" width="8.5703125" style="511" customWidth="1"/>
    <col min="18" max="19" width="0.28515625" style="511" customWidth="1"/>
    <col min="20" max="20" width="9.28515625" style="511" customWidth="1"/>
    <col min="21" max="21" width="1.28515625" style="511" customWidth="1"/>
    <col min="22" max="22" width="4" style="511" customWidth="1"/>
    <col min="23" max="23" width="2.42578125" style="511" customWidth="1"/>
    <col min="24" max="24" width="0" style="511" hidden="1" customWidth="1"/>
    <col min="25" max="25" width="3.85546875" style="511" customWidth="1"/>
    <col min="26" max="26" width="0" style="511" hidden="1" customWidth="1"/>
    <col min="27" max="27" width="0.28515625" style="511" customWidth="1"/>
    <col min="28" max="28" width="28" style="511" bestFit="1" customWidth="1"/>
    <col min="29" max="16384" width="9.140625" style="511"/>
  </cols>
  <sheetData>
    <row r="1" spans="1:28" ht="12" customHeight="1" x14ac:dyDescent="0.2">
      <c r="A1" s="905" t="s">
        <v>285</v>
      </c>
      <c r="B1" s="889"/>
      <c r="C1" s="889"/>
      <c r="D1" s="889"/>
      <c r="E1" s="889"/>
      <c r="T1" s="906" t="s">
        <v>2060</v>
      </c>
      <c r="U1" s="889"/>
      <c r="V1" s="889"/>
      <c r="W1" s="889"/>
    </row>
    <row r="2" spans="1:28" ht="12" customHeight="1" x14ac:dyDescent="0.2">
      <c r="A2" s="893" t="s">
        <v>2061</v>
      </c>
      <c r="B2" s="889"/>
      <c r="C2" s="889"/>
      <c r="D2" s="889"/>
      <c r="E2" s="889"/>
      <c r="V2" s="512" t="s">
        <v>288</v>
      </c>
      <c r="W2" s="513">
        <v>1</v>
      </c>
    </row>
    <row r="3" spans="1:28" ht="0" hidden="1" customHeight="1" x14ac:dyDescent="0.2"/>
    <row r="4" spans="1:28" ht="12" customHeight="1" x14ac:dyDescent="0.2">
      <c r="A4" s="893" t="s">
        <v>289</v>
      </c>
      <c r="B4" s="889"/>
      <c r="C4" s="889"/>
      <c r="D4" s="889"/>
      <c r="E4" s="889"/>
      <c r="R4" s="906" t="s">
        <v>290</v>
      </c>
      <c r="S4" s="889"/>
      <c r="T4" s="889"/>
      <c r="U4" s="889"/>
      <c r="V4" s="889"/>
      <c r="W4" s="889"/>
    </row>
    <row r="5" spans="1:28" ht="9.1999999999999993" customHeight="1" x14ac:dyDescent="0.2"/>
    <row r="6" spans="1:28" ht="12" customHeight="1" x14ac:dyDescent="0.2">
      <c r="A6" s="888" t="s">
        <v>291</v>
      </c>
      <c r="B6" s="889"/>
      <c r="C6" s="889"/>
      <c r="D6" s="889"/>
      <c r="E6" s="889"/>
      <c r="F6" s="889"/>
      <c r="G6" s="889"/>
      <c r="H6" s="889"/>
      <c r="I6" s="889"/>
    </row>
    <row r="7" spans="1:28" ht="15" customHeight="1" x14ac:dyDescent="0.2"/>
    <row r="8" spans="1:28" ht="12" customHeight="1" x14ac:dyDescent="0.2">
      <c r="A8" s="888" t="s">
        <v>2062</v>
      </c>
      <c r="B8" s="889"/>
      <c r="C8" s="889"/>
      <c r="D8" s="889"/>
      <c r="E8" s="889"/>
      <c r="F8" s="889"/>
      <c r="G8" s="889"/>
      <c r="H8" s="889"/>
      <c r="I8" s="889"/>
      <c r="J8" s="889"/>
      <c r="K8" s="889"/>
      <c r="L8" s="889"/>
    </row>
    <row r="9" spans="1:28" ht="12" customHeight="1" x14ac:dyDescent="0.2">
      <c r="A9" s="888" t="s">
        <v>293</v>
      </c>
      <c r="B9" s="889"/>
      <c r="C9" s="889"/>
      <c r="D9" s="889"/>
      <c r="E9" s="889"/>
      <c r="F9" s="889"/>
      <c r="G9" s="889"/>
      <c r="H9" s="889"/>
      <c r="I9" s="888" t="s">
        <v>293</v>
      </c>
      <c r="J9" s="889"/>
      <c r="K9" s="889"/>
      <c r="L9" s="889"/>
    </row>
    <row r="10" spans="1:28" ht="0" hidden="1" customHeight="1" x14ac:dyDescent="0.2"/>
    <row r="11" spans="1:28" ht="6" customHeight="1" x14ac:dyDescent="0.2"/>
    <row r="12" spans="1:28" ht="2.25" customHeight="1" x14ac:dyDescent="0.2">
      <c r="H12" s="907" t="s">
        <v>293</v>
      </c>
      <c r="I12" s="889"/>
      <c r="J12" s="889"/>
      <c r="K12" s="889"/>
      <c r="L12" s="889"/>
      <c r="M12" s="889"/>
      <c r="N12" s="889"/>
      <c r="O12" s="889"/>
      <c r="P12" s="889"/>
      <c r="Q12" s="889"/>
      <c r="R12" s="889"/>
      <c r="S12" s="889"/>
      <c r="T12" s="889"/>
      <c r="U12" s="889"/>
      <c r="V12" s="889"/>
      <c r="W12" s="889"/>
      <c r="X12" s="889"/>
      <c r="Y12" s="889"/>
    </row>
    <row r="13" spans="1:28" ht="24" x14ac:dyDescent="0.2">
      <c r="A13" s="514" t="s">
        <v>294</v>
      </c>
      <c r="B13" s="514" t="s">
        <v>295</v>
      </c>
      <c r="C13" s="514" t="s">
        <v>296</v>
      </c>
      <c r="D13" s="907" t="s">
        <v>185</v>
      </c>
      <c r="E13" s="889"/>
      <c r="F13" s="889"/>
      <c r="G13" s="514" t="s">
        <v>297</v>
      </c>
      <c r="H13" s="907" t="s">
        <v>298</v>
      </c>
      <c r="I13" s="889"/>
      <c r="J13" s="889"/>
      <c r="K13" s="514" t="s">
        <v>299</v>
      </c>
      <c r="L13" s="907" t="s">
        <v>300</v>
      </c>
      <c r="M13" s="889"/>
      <c r="N13" s="514" t="s">
        <v>301</v>
      </c>
      <c r="O13" s="514" t="s">
        <v>302</v>
      </c>
      <c r="P13" s="514" t="s">
        <v>303</v>
      </c>
      <c r="Q13" s="908" t="s">
        <v>304</v>
      </c>
      <c r="R13" s="889"/>
      <c r="S13" s="908" t="s">
        <v>305</v>
      </c>
      <c r="T13" s="889"/>
      <c r="U13" s="908" t="s">
        <v>306</v>
      </c>
      <c r="V13" s="889"/>
      <c r="W13" s="889"/>
      <c r="X13" s="889"/>
      <c r="Y13" s="889"/>
    </row>
    <row r="14" spans="1:28" ht="12" customHeight="1" x14ac:dyDescent="0.2">
      <c r="A14" s="907" t="s">
        <v>293</v>
      </c>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row>
    <row r="15" spans="1:28" ht="12" customHeight="1" x14ac:dyDescent="0.2">
      <c r="A15" s="888" t="s">
        <v>307</v>
      </c>
      <c r="B15" s="889"/>
      <c r="C15" s="515" t="s">
        <v>293</v>
      </c>
      <c r="D15" s="515" t="s">
        <v>308</v>
      </c>
      <c r="E15" s="888" t="s">
        <v>309</v>
      </c>
      <c r="F15" s="889"/>
      <c r="G15" s="889"/>
      <c r="H15" s="888" t="s">
        <v>293</v>
      </c>
      <c r="I15" s="889"/>
      <c r="J15" s="889"/>
      <c r="K15" s="889"/>
      <c r="L15" s="889"/>
      <c r="M15" s="889"/>
      <c r="N15" s="889"/>
      <c r="O15" s="889"/>
      <c r="P15" s="889"/>
      <c r="Q15" s="889"/>
      <c r="R15" s="889"/>
      <c r="S15" s="889"/>
      <c r="T15" s="889"/>
      <c r="U15" s="890">
        <v>55027.54</v>
      </c>
      <c r="V15" s="889"/>
      <c r="W15" s="889"/>
      <c r="X15" s="889"/>
      <c r="Y15" s="889"/>
    </row>
    <row r="16" spans="1:28" x14ac:dyDescent="0.2">
      <c r="A16" s="516" t="s">
        <v>2063</v>
      </c>
      <c r="B16" s="512" t="s">
        <v>311</v>
      </c>
      <c r="C16" s="516" t="s">
        <v>2064</v>
      </c>
      <c r="D16" s="892" t="s">
        <v>2065</v>
      </c>
      <c r="E16" s="889"/>
      <c r="F16" s="889"/>
      <c r="G16" s="512" t="s">
        <v>314</v>
      </c>
      <c r="H16" s="893" t="s">
        <v>2066</v>
      </c>
      <c r="I16" s="889"/>
      <c r="J16" s="889"/>
      <c r="K16" s="512" t="s">
        <v>316</v>
      </c>
      <c r="L16" s="893" t="s">
        <v>317</v>
      </c>
      <c r="M16" s="889"/>
      <c r="N16" s="512" t="s">
        <v>318</v>
      </c>
      <c r="O16" s="512" t="s">
        <v>293</v>
      </c>
      <c r="P16" s="512" t="s">
        <v>293</v>
      </c>
      <c r="Q16" s="894">
        <v>1683.75</v>
      </c>
      <c r="R16" s="889"/>
      <c r="S16" s="894">
        <v>11225</v>
      </c>
      <c r="T16" s="889"/>
      <c r="U16" s="891">
        <v>66252.539999999994</v>
      </c>
      <c r="V16" s="889"/>
      <c r="W16" s="889"/>
      <c r="X16" s="889"/>
      <c r="Y16" s="889"/>
      <c r="AB16" s="511" t="s">
        <v>2067</v>
      </c>
    </row>
    <row r="17" spans="1:28" x14ac:dyDescent="0.2">
      <c r="A17" s="888" t="s">
        <v>293</v>
      </c>
      <c r="B17" s="889"/>
      <c r="C17" s="889"/>
      <c r="D17" s="889"/>
      <c r="E17" s="888" t="s">
        <v>309</v>
      </c>
      <c r="F17" s="889"/>
      <c r="G17" s="889"/>
      <c r="H17" s="888" t="s">
        <v>293</v>
      </c>
      <c r="I17" s="889"/>
      <c r="J17" s="889"/>
      <c r="K17" s="889"/>
      <c r="L17" s="889"/>
      <c r="M17" s="889"/>
      <c r="N17" s="515" t="s">
        <v>293</v>
      </c>
      <c r="O17" s="515" t="s">
        <v>293</v>
      </c>
      <c r="P17" s="515" t="s">
        <v>293</v>
      </c>
      <c r="Q17" s="890">
        <v>1683.75</v>
      </c>
      <c r="R17" s="889"/>
      <c r="S17" s="890">
        <v>11225</v>
      </c>
      <c r="T17" s="889"/>
      <c r="U17" s="890">
        <v>66252.539999999994</v>
      </c>
      <c r="V17" s="889"/>
      <c r="W17" s="889"/>
      <c r="X17" s="889"/>
      <c r="Y17" s="889"/>
    </row>
    <row r="18" spans="1:28" ht="24" customHeight="1" x14ac:dyDescent="0.2">
      <c r="A18" s="888" t="s">
        <v>293</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Y18" s="889"/>
    </row>
    <row r="19" spans="1:28" ht="12" customHeight="1" x14ac:dyDescent="0.2">
      <c r="A19" s="888" t="s">
        <v>307</v>
      </c>
      <c r="B19" s="889"/>
      <c r="C19" s="515" t="s">
        <v>293</v>
      </c>
      <c r="D19" s="515" t="s">
        <v>338</v>
      </c>
      <c r="E19" s="888" t="s">
        <v>339</v>
      </c>
      <c r="F19" s="889"/>
      <c r="G19" s="889"/>
      <c r="H19" s="888" t="s">
        <v>293</v>
      </c>
      <c r="I19" s="889"/>
      <c r="J19" s="889"/>
      <c r="K19" s="889"/>
      <c r="L19" s="889"/>
      <c r="M19" s="889"/>
      <c r="N19" s="889"/>
      <c r="O19" s="889"/>
      <c r="P19" s="889"/>
      <c r="Q19" s="889"/>
      <c r="R19" s="889"/>
      <c r="S19" s="889"/>
      <c r="T19" s="889"/>
      <c r="U19" s="890">
        <v>3813.48</v>
      </c>
      <c r="V19" s="889"/>
      <c r="W19" s="889"/>
      <c r="X19" s="889"/>
      <c r="Y19" s="889"/>
    </row>
    <row r="20" spans="1:28" x14ac:dyDescent="0.2">
      <c r="A20" s="516" t="s">
        <v>2068</v>
      </c>
      <c r="B20" s="512" t="s">
        <v>311</v>
      </c>
      <c r="C20" s="516" t="s">
        <v>2069</v>
      </c>
      <c r="D20" s="892" t="s">
        <v>2070</v>
      </c>
      <c r="E20" s="889"/>
      <c r="F20" s="889"/>
      <c r="G20" s="512" t="s">
        <v>481</v>
      </c>
      <c r="H20" s="893" t="s">
        <v>2071</v>
      </c>
      <c r="I20" s="889"/>
      <c r="J20" s="889"/>
      <c r="K20" s="512" t="s">
        <v>316</v>
      </c>
      <c r="L20" s="893" t="s">
        <v>317</v>
      </c>
      <c r="M20" s="889"/>
      <c r="N20" s="512" t="s">
        <v>318</v>
      </c>
      <c r="O20" s="512" t="s">
        <v>293</v>
      </c>
      <c r="P20" s="512" t="s">
        <v>293</v>
      </c>
      <c r="Q20" s="894">
        <v>8.41</v>
      </c>
      <c r="R20" s="889"/>
      <c r="S20" s="894">
        <v>56.09</v>
      </c>
      <c r="T20" s="889"/>
      <c r="U20" s="891">
        <v>3869.57</v>
      </c>
      <c r="V20" s="889"/>
      <c r="W20" s="889"/>
      <c r="X20" s="889"/>
      <c r="Y20" s="889"/>
      <c r="AB20" s="511" t="s">
        <v>2072</v>
      </c>
    </row>
    <row r="21" spans="1:28" x14ac:dyDescent="0.2">
      <c r="A21" s="888" t="s">
        <v>293</v>
      </c>
      <c r="B21" s="889"/>
      <c r="C21" s="889"/>
      <c r="D21" s="889"/>
      <c r="E21" s="888" t="s">
        <v>339</v>
      </c>
      <c r="F21" s="889"/>
      <c r="G21" s="889"/>
      <c r="H21" s="888" t="s">
        <v>293</v>
      </c>
      <c r="I21" s="889"/>
      <c r="J21" s="889"/>
      <c r="K21" s="889"/>
      <c r="L21" s="889"/>
      <c r="M21" s="889"/>
      <c r="N21" s="515" t="s">
        <v>293</v>
      </c>
      <c r="O21" s="515" t="s">
        <v>293</v>
      </c>
      <c r="P21" s="515" t="s">
        <v>293</v>
      </c>
      <c r="Q21" s="890">
        <v>8.41</v>
      </c>
      <c r="R21" s="889"/>
      <c r="S21" s="890">
        <v>56.09</v>
      </c>
      <c r="T21" s="889"/>
      <c r="U21" s="890">
        <v>3869.57</v>
      </c>
      <c r="V21" s="889"/>
      <c r="W21" s="889"/>
      <c r="X21" s="889"/>
      <c r="Y21" s="889"/>
    </row>
    <row r="22" spans="1:28" ht="24" customHeight="1" x14ac:dyDescent="0.2">
      <c r="A22" s="888" t="s">
        <v>293</v>
      </c>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row>
    <row r="23" spans="1:28" ht="12" customHeight="1" x14ac:dyDescent="0.2">
      <c r="A23" s="888" t="s">
        <v>307</v>
      </c>
      <c r="B23" s="889"/>
      <c r="C23" s="515" t="s">
        <v>293</v>
      </c>
      <c r="D23" s="515" t="s">
        <v>501</v>
      </c>
      <c r="E23" s="888" t="s">
        <v>502</v>
      </c>
      <c r="F23" s="889"/>
      <c r="G23" s="889"/>
      <c r="H23" s="888" t="s">
        <v>293</v>
      </c>
      <c r="I23" s="889"/>
      <c r="J23" s="889"/>
      <c r="K23" s="889"/>
      <c r="L23" s="889"/>
      <c r="M23" s="889"/>
      <c r="N23" s="889"/>
      <c r="O23" s="889"/>
      <c r="P23" s="889"/>
      <c r="Q23" s="889"/>
      <c r="R23" s="889"/>
      <c r="S23" s="889"/>
      <c r="T23" s="889"/>
      <c r="U23" s="890">
        <v>18706.12</v>
      </c>
      <c r="V23" s="889"/>
      <c r="W23" s="889"/>
      <c r="X23" s="889"/>
      <c r="Y23" s="889"/>
    </row>
    <row r="24" spans="1:28" ht="24" x14ac:dyDescent="0.2">
      <c r="A24" s="522" t="s">
        <v>2073</v>
      </c>
      <c r="B24" s="523" t="s">
        <v>311</v>
      </c>
      <c r="C24" s="522" t="s">
        <v>2074</v>
      </c>
      <c r="D24" s="897" t="s">
        <v>2075</v>
      </c>
      <c r="E24" s="896"/>
      <c r="F24" s="896"/>
      <c r="G24" s="523" t="s">
        <v>505</v>
      </c>
      <c r="H24" s="898" t="s">
        <v>2076</v>
      </c>
      <c r="I24" s="896"/>
      <c r="J24" s="896"/>
      <c r="K24" s="523" t="s">
        <v>316</v>
      </c>
      <c r="L24" s="898" t="s">
        <v>317</v>
      </c>
      <c r="M24" s="896"/>
      <c r="N24" s="523" t="s">
        <v>318</v>
      </c>
      <c r="O24" s="523" t="s">
        <v>293</v>
      </c>
      <c r="P24" s="523" t="s">
        <v>293</v>
      </c>
      <c r="Q24" s="899">
        <v>43.04</v>
      </c>
      <c r="R24" s="896"/>
      <c r="S24" s="899">
        <v>286.95999999999998</v>
      </c>
      <c r="T24" s="896"/>
      <c r="U24" s="895">
        <v>18993.080000000002</v>
      </c>
      <c r="V24" s="896"/>
      <c r="W24" s="896"/>
      <c r="X24" s="896"/>
      <c r="Y24" s="896"/>
      <c r="Z24" s="524"/>
      <c r="AA24" s="524"/>
      <c r="AB24" s="525" t="s">
        <v>2077</v>
      </c>
    </row>
    <row r="25" spans="1:28" ht="24" x14ac:dyDescent="0.2">
      <c r="A25" s="522" t="s">
        <v>2073</v>
      </c>
      <c r="B25" s="523" t="s">
        <v>311</v>
      </c>
      <c r="C25" s="522" t="s">
        <v>2074</v>
      </c>
      <c r="D25" s="897" t="s">
        <v>2078</v>
      </c>
      <c r="E25" s="896"/>
      <c r="F25" s="896"/>
      <c r="G25" s="523" t="s">
        <v>505</v>
      </c>
      <c r="H25" s="898" t="s">
        <v>2076</v>
      </c>
      <c r="I25" s="896"/>
      <c r="J25" s="896"/>
      <c r="K25" s="523" t="s">
        <v>316</v>
      </c>
      <c r="L25" s="898" t="s">
        <v>317</v>
      </c>
      <c r="M25" s="896"/>
      <c r="N25" s="523" t="s">
        <v>318</v>
      </c>
      <c r="O25" s="523" t="s">
        <v>293</v>
      </c>
      <c r="P25" s="523" t="s">
        <v>293</v>
      </c>
      <c r="Q25" s="899">
        <v>34.54</v>
      </c>
      <c r="R25" s="896"/>
      <c r="S25" s="899">
        <v>230.26</v>
      </c>
      <c r="T25" s="896"/>
      <c r="U25" s="895">
        <v>19223.34</v>
      </c>
      <c r="V25" s="896"/>
      <c r="W25" s="896"/>
      <c r="X25" s="896"/>
      <c r="Y25" s="896"/>
      <c r="Z25" s="524"/>
      <c r="AA25" s="524"/>
      <c r="AB25" s="525" t="s">
        <v>2077</v>
      </c>
    </row>
    <row r="26" spans="1:28" x14ac:dyDescent="0.2">
      <c r="A26" s="888" t="s">
        <v>293</v>
      </c>
      <c r="B26" s="889"/>
      <c r="C26" s="889"/>
      <c r="D26" s="889"/>
      <c r="E26" s="888" t="s">
        <v>502</v>
      </c>
      <c r="F26" s="889"/>
      <c r="G26" s="889"/>
      <c r="H26" s="888" t="s">
        <v>293</v>
      </c>
      <c r="I26" s="889"/>
      <c r="J26" s="889"/>
      <c r="K26" s="889"/>
      <c r="L26" s="889"/>
      <c r="M26" s="889"/>
      <c r="N26" s="515" t="s">
        <v>293</v>
      </c>
      <c r="O26" s="515" t="s">
        <v>293</v>
      </c>
      <c r="P26" s="515" t="s">
        <v>293</v>
      </c>
      <c r="Q26" s="890">
        <v>77.58</v>
      </c>
      <c r="R26" s="889"/>
      <c r="S26" s="890">
        <v>517.22</v>
      </c>
      <c r="T26" s="889"/>
      <c r="U26" s="890">
        <v>19223.34</v>
      </c>
      <c r="V26" s="889"/>
      <c r="W26" s="889"/>
      <c r="X26" s="889"/>
      <c r="Y26" s="889"/>
    </row>
    <row r="27" spans="1:28" ht="24" customHeight="1" x14ac:dyDescent="0.2">
      <c r="A27" s="888" t="s">
        <v>293</v>
      </c>
      <c r="B27" s="889"/>
      <c r="C27" s="889"/>
      <c r="D27" s="889"/>
      <c r="E27" s="889"/>
      <c r="F27" s="889"/>
      <c r="G27" s="889"/>
      <c r="H27" s="889"/>
      <c r="I27" s="889"/>
      <c r="J27" s="889"/>
      <c r="K27" s="889"/>
      <c r="L27" s="889"/>
      <c r="M27" s="889"/>
      <c r="N27" s="889"/>
      <c r="O27" s="889"/>
      <c r="P27" s="889"/>
      <c r="Q27" s="889"/>
      <c r="R27" s="889"/>
      <c r="S27" s="889"/>
      <c r="T27" s="889"/>
      <c r="U27" s="889"/>
      <c r="V27" s="889"/>
      <c r="W27" s="889"/>
      <c r="X27" s="889"/>
      <c r="Y27" s="889"/>
    </row>
    <row r="28" spans="1:28" ht="12" customHeight="1" x14ac:dyDescent="0.2">
      <c r="A28" s="888" t="s">
        <v>307</v>
      </c>
      <c r="B28" s="889"/>
      <c r="C28" s="515" t="s">
        <v>293</v>
      </c>
      <c r="D28" s="515" t="s">
        <v>386</v>
      </c>
      <c r="E28" s="888" t="s">
        <v>387</v>
      </c>
      <c r="F28" s="889"/>
      <c r="G28" s="889"/>
      <c r="H28" s="888" t="s">
        <v>293</v>
      </c>
      <c r="I28" s="889"/>
      <c r="J28" s="889"/>
      <c r="K28" s="889"/>
      <c r="L28" s="889"/>
      <c r="M28" s="889"/>
      <c r="N28" s="889"/>
      <c r="O28" s="889"/>
      <c r="P28" s="889"/>
      <c r="Q28" s="889"/>
      <c r="R28" s="889"/>
      <c r="S28" s="889"/>
      <c r="T28" s="889"/>
      <c r="U28" s="890">
        <v>24161.32</v>
      </c>
      <c r="V28" s="889"/>
      <c r="W28" s="889"/>
      <c r="X28" s="889"/>
      <c r="Y28" s="889"/>
    </row>
    <row r="29" spans="1:28" x14ac:dyDescent="0.2">
      <c r="A29" s="517" t="s">
        <v>2079</v>
      </c>
      <c r="B29" s="518" t="s">
        <v>325</v>
      </c>
      <c r="C29" s="517" t="s">
        <v>2080</v>
      </c>
      <c r="D29" s="902" t="s">
        <v>2081</v>
      </c>
      <c r="E29" s="901"/>
      <c r="F29" s="901"/>
      <c r="G29" s="518" t="s">
        <v>293</v>
      </c>
      <c r="H29" s="903" t="s">
        <v>293</v>
      </c>
      <c r="I29" s="901"/>
      <c r="J29" s="901"/>
      <c r="K29" s="518" t="s">
        <v>316</v>
      </c>
      <c r="L29" s="903" t="s">
        <v>317</v>
      </c>
      <c r="M29" s="901"/>
      <c r="N29" s="518" t="s">
        <v>318</v>
      </c>
      <c r="O29" s="518" t="s">
        <v>293</v>
      </c>
      <c r="P29" s="518" t="s">
        <v>293</v>
      </c>
      <c r="Q29" s="904">
        <v>1.3</v>
      </c>
      <c r="R29" s="901"/>
      <c r="S29" s="904">
        <v>8.6999999999999993</v>
      </c>
      <c r="T29" s="901"/>
      <c r="U29" s="900">
        <v>24170.02</v>
      </c>
      <c r="V29" s="901"/>
      <c r="W29" s="901"/>
      <c r="X29" s="901"/>
      <c r="Y29" s="901"/>
      <c r="AB29" s="532" t="s">
        <v>24</v>
      </c>
    </row>
    <row r="30" spans="1:28" x14ac:dyDescent="0.2">
      <c r="A30" s="888" t="s">
        <v>293</v>
      </c>
      <c r="B30" s="889"/>
      <c r="C30" s="889"/>
      <c r="D30" s="889"/>
      <c r="E30" s="888" t="s">
        <v>387</v>
      </c>
      <c r="F30" s="889"/>
      <c r="G30" s="889"/>
      <c r="H30" s="888" t="s">
        <v>293</v>
      </c>
      <c r="I30" s="889"/>
      <c r="J30" s="889"/>
      <c r="K30" s="889"/>
      <c r="L30" s="889"/>
      <c r="M30" s="889"/>
      <c r="N30" s="515" t="s">
        <v>293</v>
      </c>
      <c r="O30" s="515" t="s">
        <v>293</v>
      </c>
      <c r="P30" s="515" t="s">
        <v>293</v>
      </c>
      <c r="Q30" s="890">
        <v>1.3</v>
      </c>
      <c r="R30" s="889"/>
      <c r="S30" s="890">
        <v>8.6999999999999993</v>
      </c>
      <c r="T30" s="889"/>
      <c r="U30" s="890">
        <v>24170.02</v>
      </c>
      <c r="V30" s="889"/>
      <c r="W30" s="889"/>
      <c r="X30" s="889"/>
      <c r="Y30" s="889"/>
    </row>
    <row r="31" spans="1:28" ht="24" customHeight="1" x14ac:dyDescent="0.2">
      <c r="A31" s="888" t="s">
        <v>293</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row>
    <row r="32" spans="1:28" ht="12" customHeight="1" x14ac:dyDescent="0.2">
      <c r="A32" s="888" t="s">
        <v>307</v>
      </c>
      <c r="B32" s="889"/>
      <c r="C32" s="515" t="s">
        <v>293</v>
      </c>
      <c r="D32" s="515" t="s">
        <v>589</v>
      </c>
      <c r="E32" s="888" t="s">
        <v>590</v>
      </c>
      <c r="F32" s="889"/>
      <c r="G32" s="889"/>
      <c r="H32" s="888" t="s">
        <v>293</v>
      </c>
      <c r="I32" s="889"/>
      <c r="J32" s="889"/>
      <c r="K32" s="889"/>
      <c r="L32" s="889"/>
      <c r="M32" s="889"/>
      <c r="N32" s="889"/>
      <c r="O32" s="889"/>
      <c r="P32" s="889"/>
      <c r="Q32" s="889"/>
      <c r="R32" s="889"/>
      <c r="S32" s="889"/>
      <c r="T32" s="889"/>
      <c r="U32" s="890">
        <v>2357.16</v>
      </c>
      <c r="V32" s="889"/>
      <c r="W32" s="889"/>
      <c r="X32" s="889"/>
      <c r="Y32" s="889"/>
    </row>
    <row r="33" spans="1:28" ht="24" customHeight="1" x14ac:dyDescent="0.2">
      <c r="A33" s="522" t="s">
        <v>2073</v>
      </c>
      <c r="B33" s="523" t="s">
        <v>311</v>
      </c>
      <c r="C33" s="522" t="s">
        <v>2074</v>
      </c>
      <c r="D33" s="897" t="s">
        <v>2082</v>
      </c>
      <c r="E33" s="896"/>
      <c r="F33" s="896"/>
      <c r="G33" s="523" t="s">
        <v>505</v>
      </c>
      <c r="H33" s="898" t="s">
        <v>2076</v>
      </c>
      <c r="I33" s="896"/>
      <c r="J33" s="896"/>
      <c r="K33" s="523" t="s">
        <v>316</v>
      </c>
      <c r="L33" s="898" t="s">
        <v>317</v>
      </c>
      <c r="M33" s="896"/>
      <c r="N33" s="523" t="s">
        <v>318</v>
      </c>
      <c r="O33" s="523" t="s">
        <v>293</v>
      </c>
      <c r="P33" s="523" t="s">
        <v>293</v>
      </c>
      <c r="Q33" s="899">
        <v>0</v>
      </c>
      <c r="R33" s="896"/>
      <c r="S33" s="899">
        <v>105.35</v>
      </c>
      <c r="T33" s="896"/>
      <c r="U33" s="895">
        <v>2462.5100000000002</v>
      </c>
      <c r="V33" s="896"/>
      <c r="W33" s="896"/>
      <c r="X33" s="896"/>
      <c r="Y33" s="896"/>
      <c r="Z33" s="524"/>
      <c r="AA33" s="524"/>
      <c r="AB33" s="525" t="s">
        <v>2077</v>
      </c>
    </row>
    <row r="34" spans="1:28" x14ac:dyDescent="0.2">
      <c r="A34" s="888" t="s">
        <v>293</v>
      </c>
      <c r="B34" s="889"/>
      <c r="C34" s="889"/>
      <c r="D34" s="889"/>
      <c r="E34" s="888" t="s">
        <v>590</v>
      </c>
      <c r="F34" s="889"/>
      <c r="G34" s="889"/>
      <c r="H34" s="888" t="s">
        <v>293</v>
      </c>
      <c r="I34" s="889"/>
      <c r="J34" s="889"/>
      <c r="K34" s="889"/>
      <c r="L34" s="889"/>
      <c r="M34" s="889"/>
      <c r="N34" s="515" t="s">
        <v>293</v>
      </c>
      <c r="O34" s="515" t="s">
        <v>293</v>
      </c>
      <c r="P34" s="515" t="s">
        <v>293</v>
      </c>
      <c r="Q34" s="890">
        <v>0</v>
      </c>
      <c r="R34" s="889"/>
      <c r="S34" s="890">
        <v>105.35</v>
      </c>
      <c r="T34" s="889"/>
      <c r="U34" s="890">
        <v>2462.5100000000002</v>
      </c>
      <c r="V34" s="889"/>
      <c r="W34" s="889"/>
      <c r="X34" s="889"/>
      <c r="Y34" s="889"/>
    </row>
    <row r="35" spans="1:28" ht="24" customHeight="1" x14ac:dyDescent="0.2">
      <c r="A35" s="888" t="s">
        <v>293</v>
      </c>
      <c r="B35" s="889"/>
      <c r="C35" s="889"/>
      <c r="D35" s="889"/>
      <c r="E35" s="889"/>
      <c r="F35" s="889"/>
      <c r="G35" s="889"/>
      <c r="H35" s="889"/>
      <c r="I35" s="889"/>
      <c r="J35" s="889"/>
      <c r="K35" s="889"/>
      <c r="L35" s="889"/>
      <c r="M35" s="889"/>
      <c r="N35" s="889"/>
      <c r="O35" s="889"/>
      <c r="P35" s="889"/>
      <c r="Q35" s="889"/>
      <c r="R35" s="889"/>
      <c r="S35" s="889"/>
      <c r="T35" s="889"/>
      <c r="U35" s="889"/>
      <c r="V35" s="889"/>
      <c r="W35" s="889"/>
      <c r="X35" s="889"/>
      <c r="Y35" s="889"/>
    </row>
    <row r="36" spans="1:28" ht="12" customHeight="1" x14ac:dyDescent="0.2">
      <c r="A36" s="888" t="s">
        <v>307</v>
      </c>
      <c r="B36" s="889"/>
      <c r="C36" s="515" t="s">
        <v>293</v>
      </c>
      <c r="D36" s="515" t="s">
        <v>398</v>
      </c>
      <c r="E36" s="888" t="s">
        <v>399</v>
      </c>
      <c r="F36" s="889"/>
      <c r="G36" s="889"/>
      <c r="H36" s="888" t="s">
        <v>293</v>
      </c>
      <c r="I36" s="889"/>
      <c r="J36" s="889"/>
      <c r="K36" s="889"/>
      <c r="L36" s="889"/>
      <c r="M36" s="889"/>
      <c r="N36" s="889"/>
      <c r="O36" s="889"/>
      <c r="P36" s="889"/>
      <c r="Q36" s="889"/>
      <c r="R36" s="889"/>
      <c r="S36" s="889"/>
      <c r="T36" s="889"/>
      <c r="U36" s="890">
        <v>13734.39</v>
      </c>
      <c r="V36" s="889"/>
      <c r="W36" s="889"/>
      <c r="X36" s="889"/>
      <c r="Y36" s="889"/>
    </row>
    <row r="37" spans="1:28" x14ac:dyDescent="0.2">
      <c r="A37" s="516" t="s">
        <v>2083</v>
      </c>
      <c r="B37" s="512" t="s">
        <v>311</v>
      </c>
      <c r="C37" s="516" t="s">
        <v>2084</v>
      </c>
      <c r="D37" s="892" t="s">
        <v>2085</v>
      </c>
      <c r="E37" s="889"/>
      <c r="F37" s="889"/>
      <c r="G37" s="512" t="s">
        <v>402</v>
      </c>
      <c r="H37" s="893" t="s">
        <v>2086</v>
      </c>
      <c r="I37" s="889"/>
      <c r="J37" s="889"/>
      <c r="K37" s="512" t="s">
        <v>316</v>
      </c>
      <c r="L37" s="893" t="s">
        <v>317</v>
      </c>
      <c r="M37" s="889"/>
      <c r="N37" s="512" t="s">
        <v>318</v>
      </c>
      <c r="O37" s="512" t="s">
        <v>293</v>
      </c>
      <c r="P37" s="512" t="s">
        <v>293</v>
      </c>
      <c r="Q37" s="894">
        <v>2.93</v>
      </c>
      <c r="R37" s="889"/>
      <c r="S37" s="894">
        <v>19.510000000000002</v>
      </c>
      <c r="T37" s="889"/>
      <c r="U37" s="891">
        <v>13753.9</v>
      </c>
      <c r="V37" s="889"/>
      <c r="W37" s="889"/>
      <c r="X37" s="889"/>
      <c r="Y37" s="889"/>
    </row>
    <row r="38" spans="1:28" x14ac:dyDescent="0.2">
      <c r="A38" s="516" t="s">
        <v>2087</v>
      </c>
      <c r="B38" s="512" t="s">
        <v>325</v>
      </c>
      <c r="C38" s="516" t="s">
        <v>2088</v>
      </c>
      <c r="D38" s="892" t="s">
        <v>2089</v>
      </c>
      <c r="E38" s="889"/>
      <c r="F38" s="889"/>
      <c r="G38" s="512" t="s">
        <v>293</v>
      </c>
      <c r="H38" s="893" t="s">
        <v>293</v>
      </c>
      <c r="I38" s="889"/>
      <c r="J38" s="889"/>
      <c r="K38" s="512" t="s">
        <v>316</v>
      </c>
      <c r="L38" s="893" t="s">
        <v>411</v>
      </c>
      <c r="M38" s="889"/>
      <c r="N38" s="512" t="s">
        <v>2090</v>
      </c>
      <c r="O38" s="512" t="s">
        <v>293</v>
      </c>
      <c r="P38" s="512" t="s">
        <v>293</v>
      </c>
      <c r="Q38" s="894">
        <v>2.98</v>
      </c>
      <c r="R38" s="889"/>
      <c r="S38" s="894">
        <v>19.850000000000001</v>
      </c>
      <c r="T38" s="889"/>
      <c r="U38" s="891">
        <v>13773.75</v>
      </c>
      <c r="V38" s="889"/>
      <c r="W38" s="889"/>
      <c r="X38" s="889"/>
      <c r="Y38" s="889"/>
    </row>
    <row r="39" spans="1:28" x14ac:dyDescent="0.2">
      <c r="A39" s="516" t="s">
        <v>2091</v>
      </c>
      <c r="B39" s="512" t="s">
        <v>325</v>
      </c>
      <c r="C39" s="516" t="s">
        <v>2092</v>
      </c>
      <c r="D39" s="892" t="s">
        <v>2089</v>
      </c>
      <c r="E39" s="889"/>
      <c r="F39" s="889"/>
      <c r="G39" s="512" t="s">
        <v>293</v>
      </c>
      <c r="H39" s="893" t="s">
        <v>293</v>
      </c>
      <c r="I39" s="889"/>
      <c r="J39" s="889"/>
      <c r="K39" s="512" t="s">
        <v>316</v>
      </c>
      <c r="L39" s="893" t="s">
        <v>411</v>
      </c>
      <c r="M39" s="889"/>
      <c r="N39" s="512" t="s">
        <v>2090</v>
      </c>
      <c r="O39" s="512" t="s">
        <v>293</v>
      </c>
      <c r="P39" s="512" t="s">
        <v>293</v>
      </c>
      <c r="Q39" s="894">
        <v>0</v>
      </c>
      <c r="R39" s="889"/>
      <c r="S39" s="894">
        <v>2.98</v>
      </c>
      <c r="T39" s="889"/>
      <c r="U39" s="891">
        <v>13776.73</v>
      </c>
      <c r="V39" s="889"/>
      <c r="W39" s="889"/>
      <c r="X39" s="889"/>
      <c r="Y39" s="889"/>
    </row>
    <row r="40" spans="1:28" x14ac:dyDescent="0.2">
      <c r="A40" s="516" t="s">
        <v>2091</v>
      </c>
      <c r="B40" s="512" t="s">
        <v>325</v>
      </c>
      <c r="C40" s="516" t="s">
        <v>2092</v>
      </c>
      <c r="D40" s="892" t="s">
        <v>2093</v>
      </c>
      <c r="E40" s="889"/>
      <c r="F40" s="889"/>
      <c r="G40" s="512" t="s">
        <v>293</v>
      </c>
      <c r="H40" s="893" t="s">
        <v>293</v>
      </c>
      <c r="I40" s="889"/>
      <c r="J40" s="889"/>
      <c r="K40" s="512" t="s">
        <v>316</v>
      </c>
      <c r="L40" s="893" t="s">
        <v>411</v>
      </c>
      <c r="M40" s="889"/>
      <c r="N40" s="512" t="s">
        <v>2090</v>
      </c>
      <c r="O40" s="512" t="s">
        <v>293</v>
      </c>
      <c r="P40" s="512" t="s">
        <v>293</v>
      </c>
      <c r="Q40" s="894">
        <v>0</v>
      </c>
      <c r="R40" s="889"/>
      <c r="S40" s="894">
        <v>6.84</v>
      </c>
      <c r="T40" s="889"/>
      <c r="U40" s="891">
        <v>13783.57</v>
      </c>
      <c r="V40" s="889"/>
      <c r="W40" s="889"/>
      <c r="X40" s="889"/>
      <c r="Y40" s="889"/>
    </row>
    <row r="41" spans="1:28" x14ac:dyDescent="0.2">
      <c r="A41" s="888" t="s">
        <v>293</v>
      </c>
      <c r="B41" s="889"/>
      <c r="C41" s="889"/>
      <c r="D41" s="889"/>
      <c r="E41" s="888" t="s">
        <v>399</v>
      </c>
      <c r="F41" s="889"/>
      <c r="G41" s="889"/>
      <c r="H41" s="888" t="s">
        <v>293</v>
      </c>
      <c r="I41" s="889"/>
      <c r="J41" s="889"/>
      <c r="K41" s="889"/>
      <c r="L41" s="889"/>
      <c r="M41" s="889"/>
      <c r="N41" s="515" t="s">
        <v>293</v>
      </c>
      <c r="O41" s="515" t="s">
        <v>293</v>
      </c>
      <c r="P41" s="515" t="s">
        <v>293</v>
      </c>
      <c r="Q41" s="890">
        <v>5.91</v>
      </c>
      <c r="R41" s="889"/>
      <c r="S41" s="890">
        <v>49.18</v>
      </c>
      <c r="T41" s="889"/>
      <c r="U41" s="890">
        <v>13783.57</v>
      </c>
      <c r="V41" s="889"/>
      <c r="W41" s="889"/>
      <c r="X41" s="889"/>
      <c r="Y41" s="889"/>
    </row>
    <row r="42" spans="1:28" ht="24" customHeight="1" x14ac:dyDescent="0.2">
      <c r="A42" s="888" t="s">
        <v>293</v>
      </c>
      <c r="B42" s="889"/>
      <c r="C42" s="889"/>
      <c r="D42" s="889"/>
      <c r="E42" s="889"/>
      <c r="F42" s="889"/>
      <c r="G42" s="889"/>
      <c r="H42" s="889"/>
      <c r="I42" s="889"/>
      <c r="J42" s="889"/>
      <c r="K42" s="889"/>
      <c r="L42" s="889"/>
      <c r="M42" s="889"/>
      <c r="N42" s="889"/>
      <c r="O42" s="889"/>
      <c r="P42" s="889"/>
      <c r="Q42" s="889"/>
      <c r="R42" s="889"/>
      <c r="S42" s="889"/>
      <c r="T42" s="889"/>
      <c r="U42" s="889"/>
      <c r="V42" s="889"/>
      <c r="W42" s="889"/>
      <c r="X42" s="889"/>
      <c r="Y42" s="889"/>
    </row>
    <row r="43" spans="1:28" ht="12" customHeight="1" x14ac:dyDescent="0.2">
      <c r="A43" s="888" t="s">
        <v>307</v>
      </c>
      <c r="B43" s="889"/>
      <c r="C43" s="515" t="s">
        <v>293</v>
      </c>
      <c r="D43" s="515" t="s">
        <v>414</v>
      </c>
      <c r="E43" s="888" t="s">
        <v>415</v>
      </c>
      <c r="F43" s="889"/>
      <c r="G43" s="889"/>
      <c r="H43" s="888" t="s">
        <v>293</v>
      </c>
      <c r="I43" s="889"/>
      <c r="J43" s="889"/>
      <c r="K43" s="889"/>
      <c r="L43" s="889"/>
      <c r="M43" s="889"/>
      <c r="N43" s="889"/>
      <c r="O43" s="889"/>
      <c r="P43" s="889"/>
      <c r="Q43" s="889"/>
      <c r="R43" s="889"/>
      <c r="S43" s="889"/>
      <c r="T43" s="889"/>
      <c r="U43" s="890">
        <v>2053.63</v>
      </c>
      <c r="V43" s="889"/>
      <c r="W43" s="889"/>
      <c r="X43" s="889"/>
      <c r="Y43" s="889"/>
    </row>
    <row r="44" spans="1:28" x14ac:dyDescent="0.2">
      <c r="A44" s="517" t="s">
        <v>2094</v>
      </c>
      <c r="B44" s="518" t="s">
        <v>325</v>
      </c>
      <c r="C44" s="517" t="s">
        <v>2095</v>
      </c>
      <c r="D44" s="902" t="s">
        <v>2096</v>
      </c>
      <c r="E44" s="901"/>
      <c r="F44" s="901"/>
      <c r="G44" s="518" t="s">
        <v>293</v>
      </c>
      <c r="H44" s="903" t="s">
        <v>293</v>
      </c>
      <c r="I44" s="901"/>
      <c r="J44" s="901"/>
      <c r="K44" s="518" t="s">
        <v>316</v>
      </c>
      <c r="L44" s="903" t="s">
        <v>317</v>
      </c>
      <c r="M44" s="901"/>
      <c r="N44" s="518" t="s">
        <v>318</v>
      </c>
      <c r="O44" s="518" t="s">
        <v>293</v>
      </c>
      <c r="P44" s="518" t="s">
        <v>293</v>
      </c>
      <c r="Q44" s="904">
        <v>0.98</v>
      </c>
      <c r="R44" s="901"/>
      <c r="S44" s="904">
        <v>6.52</v>
      </c>
      <c r="T44" s="901"/>
      <c r="U44" s="900">
        <v>2060.15</v>
      </c>
      <c r="V44" s="901"/>
      <c r="W44" s="901"/>
      <c r="X44" s="901"/>
      <c r="Y44" s="901"/>
      <c r="AB44" s="532" t="s">
        <v>2097</v>
      </c>
    </row>
    <row r="45" spans="1:28" x14ac:dyDescent="0.2">
      <c r="A45" s="888" t="s">
        <v>293</v>
      </c>
      <c r="B45" s="889"/>
      <c r="C45" s="889"/>
      <c r="D45" s="889"/>
      <c r="E45" s="888" t="s">
        <v>415</v>
      </c>
      <c r="F45" s="889"/>
      <c r="G45" s="889"/>
      <c r="H45" s="888" t="s">
        <v>293</v>
      </c>
      <c r="I45" s="889"/>
      <c r="J45" s="889"/>
      <c r="K45" s="889"/>
      <c r="L45" s="889"/>
      <c r="M45" s="889"/>
      <c r="N45" s="515" t="s">
        <v>293</v>
      </c>
      <c r="O45" s="515" t="s">
        <v>293</v>
      </c>
      <c r="P45" s="515" t="s">
        <v>293</v>
      </c>
      <c r="Q45" s="890">
        <v>0.98</v>
      </c>
      <c r="R45" s="889"/>
      <c r="S45" s="890">
        <v>6.52</v>
      </c>
      <c r="T45" s="889"/>
      <c r="U45" s="890">
        <v>2060.15</v>
      </c>
      <c r="V45" s="889"/>
      <c r="W45" s="889"/>
      <c r="X45" s="889"/>
      <c r="Y45" s="889"/>
    </row>
    <row r="46" spans="1:28" ht="24" customHeight="1" x14ac:dyDescent="0.2">
      <c r="A46" s="888" t="s">
        <v>293</v>
      </c>
      <c r="B46" s="889"/>
      <c r="C46" s="889"/>
      <c r="D46" s="889"/>
      <c r="E46" s="889"/>
      <c r="F46" s="889"/>
      <c r="G46" s="889"/>
      <c r="H46" s="889"/>
      <c r="I46" s="889"/>
      <c r="J46" s="889"/>
      <c r="K46" s="889"/>
      <c r="L46" s="889"/>
      <c r="M46" s="889"/>
      <c r="N46" s="889"/>
      <c r="O46" s="889"/>
      <c r="P46" s="889"/>
      <c r="Q46" s="889"/>
      <c r="R46" s="889"/>
      <c r="S46" s="889"/>
      <c r="T46" s="889"/>
      <c r="U46" s="889"/>
      <c r="V46" s="889"/>
      <c r="W46" s="889"/>
      <c r="X46" s="889"/>
      <c r="Y46" s="889"/>
    </row>
    <row r="47" spans="1:28" ht="12" customHeight="1" x14ac:dyDescent="0.2">
      <c r="A47" s="888" t="s">
        <v>307</v>
      </c>
      <c r="B47" s="889"/>
      <c r="C47" s="515" t="s">
        <v>293</v>
      </c>
      <c r="D47" s="515" t="s">
        <v>423</v>
      </c>
      <c r="E47" s="888" t="s">
        <v>424</v>
      </c>
      <c r="F47" s="889"/>
      <c r="G47" s="889"/>
      <c r="H47" s="888" t="s">
        <v>293</v>
      </c>
      <c r="I47" s="889"/>
      <c r="J47" s="889"/>
      <c r="K47" s="889"/>
      <c r="L47" s="889"/>
      <c r="M47" s="889"/>
      <c r="N47" s="889"/>
      <c r="O47" s="889"/>
      <c r="P47" s="889"/>
      <c r="Q47" s="889"/>
      <c r="R47" s="889"/>
      <c r="S47" s="889"/>
      <c r="T47" s="889"/>
      <c r="U47" s="890">
        <v>7308.27</v>
      </c>
      <c r="V47" s="889"/>
      <c r="W47" s="889"/>
      <c r="X47" s="889"/>
      <c r="Y47" s="889"/>
    </row>
    <row r="48" spans="1:28" ht="24" customHeight="1" x14ac:dyDescent="0.2">
      <c r="A48" s="522" t="s">
        <v>2073</v>
      </c>
      <c r="B48" s="523" t="s">
        <v>311</v>
      </c>
      <c r="C48" s="522" t="s">
        <v>2074</v>
      </c>
      <c r="D48" s="897" t="s">
        <v>2098</v>
      </c>
      <c r="E48" s="896"/>
      <c r="F48" s="896"/>
      <c r="G48" s="523" t="s">
        <v>505</v>
      </c>
      <c r="H48" s="898" t="s">
        <v>2076</v>
      </c>
      <c r="I48" s="896"/>
      <c r="J48" s="896"/>
      <c r="K48" s="523" t="s">
        <v>316</v>
      </c>
      <c r="L48" s="898" t="s">
        <v>317</v>
      </c>
      <c r="M48" s="896"/>
      <c r="N48" s="523" t="s">
        <v>318</v>
      </c>
      <c r="O48" s="523" t="s">
        <v>293</v>
      </c>
      <c r="P48" s="523" t="s">
        <v>293</v>
      </c>
      <c r="Q48" s="899">
        <v>0</v>
      </c>
      <c r="R48" s="896"/>
      <c r="S48" s="899">
        <v>6599.59</v>
      </c>
      <c r="T48" s="896"/>
      <c r="U48" s="895">
        <v>13907.86</v>
      </c>
      <c r="V48" s="896"/>
      <c r="W48" s="896"/>
      <c r="X48" s="896"/>
      <c r="Y48" s="896"/>
      <c r="Z48" s="524"/>
      <c r="AA48" s="524"/>
      <c r="AB48" s="525" t="s">
        <v>2077</v>
      </c>
    </row>
    <row r="49" spans="1:25" x14ac:dyDescent="0.2">
      <c r="A49" s="888" t="s">
        <v>293</v>
      </c>
      <c r="B49" s="889"/>
      <c r="C49" s="889"/>
      <c r="D49" s="889"/>
      <c r="E49" s="888" t="s">
        <v>424</v>
      </c>
      <c r="F49" s="889"/>
      <c r="G49" s="889"/>
      <c r="H49" s="888" t="s">
        <v>293</v>
      </c>
      <c r="I49" s="889"/>
      <c r="J49" s="889"/>
      <c r="K49" s="889"/>
      <c r="L49" s="889"/>
      <c r="M49" s="889"/>
      <c r="N49" s="515" t="s">
        <v>293</v>
      </c>
      <c r="O49" s="515" t="s">
        <v>293</v>
      </c>
      <c r="P49" s="515" t="s">
        <v>293</v>
      </c>
      <c r="Q49" s="890">
        <v>0</v>
      </c>
      <c r="R49" s="889"/>
      <c r="S49" s="890">
        <v>6599.59</v>
      </c>
      <c r="T49" s="889"/>
      <c r="U49" s="890">
        <v>13907.86</v>
      </c>
      <c r="V49" s="889"/>
      <c r="W49" s="889"/>
      <c r="X49" s="889"/>
      <c r="Y49" s="889"/>
    </row>
    <row r="50" spans="1:25" ht="24" customHeight="1" x14ac:dyDescent="0.2">
      <c r="A50" s="888" t="s">
        <v>293</v>
      </c>
      <c r="B50" s="889"/>
      <c r="C50" s="889"/>
      <c r="D50" s="889"/>
      <c r="E50" s="889"/>
      <c r="F50" s="889"/>
      <c r="G50" s="889"/>
      <c r="H50" s="889"/>
      <c r="I50" s="889"/>
      <c r="J50" s="889"/>
      <c r="K50" s="889"/>
      <c r="L50" s="889"/>
      <c r="M50" s="889"/>
      <c r="N50" s="889"/>
      <c r="O50" s="889"/>
      <c r="P50" s="889"/>
      <c r="Q50" s="889"/>
      <c r="R50" s="889"/>
      <c r="S50" s="889"/>
      <c r="T50" s="889"/>
      <c r="U50" s="889"/>
      <c r="V50" s="889"/>
      <c r="W50" s="889"/>
      <c r="X50" s="889"/>
      <c r="Y50" s="889"/>
    </row>
    <row r="51" spans="1:25" ht="12" customHeight="1" x14ac:dyDescent="0.2">
      <c r="A51" s="888" t="s">
        <v>307</v>
      </c>
      <c r="B51" s="889"/>
      <c r="C51" s="515" t="s">
        <v>293</v>
      </c>
      <c r="D51" s="515" t="s">
        <v>1553</v>
      </c>
      <c r="E51" s="888" t="s">
        <v>2029</v>
      </c>
      <c r="F51" s="889"/>
      <c r="G51" s="889"/>
      <c r="H51" s="888" t="s">
        <v>293</v>
      </c>
      <c r="I51" s="889"/>
      <c r="J51" s="889"/>
      <c r="K51" s="889"/>
      <c r="L51" s="889"/>
      <c r="M51" s="889"/>
      <c r="N51" s="889"/>
      <c r="O51" s="889"/>
      <c r="P51" s="889"/>
      <c r="Q51" s="889"/>
      <c r="R51" s="889"/>
      <c r="S51" s="889"/>
      <c r="T51" s="889"/>
      <c r="U51" s="890">
        <v>88.18</v>
      </c>
      <c r="V51" s="889"/>
      <c r="W51" s="889"/>
      <c r="X51" s="889"/>
      <c r="Y51" s="889"/>
    </row>
    <row r="52" spans="1:25" x14ac:dyDescent="0.2">
      <c r="A52" s="516" t="s">
        <v>2099</v>
      </c>
      <c r="B52" s="512" t="s">
        <v>325</v>
      </c>
      <c r="C52" s="516" t="s">
        <v>2100</v>
      </c>
      <c r="D52" s="892" t="s">
        <v>2093</v>
      </c>
      <c r="E52" s="889"/>
      <c r="F52" s="889"/>
      <c r="G52" s="512" t="s">
        <v>293</v>
      </c>
      <c r="H52" s="893" t="s">
        <v>293</v>
      </c>
      <c r="I52" s="889"/>
      <c r="J52" s="889"/>
      <c r="K52" s="512" t="s">
        <v>316</v>
      </c>
      <c r="L52" s="893" t="s">
        <v>411</v>
      </c>
      <c r="M52" s="889"/>
      <c r="N52" s="512" t="s">
        <v>2090</v>
      </c>
      <c r="O52" s="512" t="s">
        <v>293</v>
      </c>
      <c r="P52" s="512" t="s">
        <v>293</v>
      </c>
      <c r="Q52" s="894">
        <v>6.84</v>
      </c>
      <c r="R52" s="889"/>
      <c r="S52" s="894">
        <v>45.6</v>
      </c>
      <c r="T52" s="889"/>
      <c r="U52" s="891">
        <v>133.78</v>
      </c>
      <c r="V52" s="889"/>
      <c r="W52" s="889"/>
      <c r="X52" s="889"/>
      <c r="Y52" s="889"/>
    </row>
    <row r="53" spans="1:25" x14ac:dyDescent="0.2">
      <c r="A53" s="888" t="s">
        <v>293</v>
      </c>
      <c r="B53" s="889"/>
      <c r="C53" s="889"/>
      <c r="D53" s="889"/>
      <c r="E53" s="888" t="s">
        <v>2029</v>
      </c>
      <c r="F53" s="889"/>
      <c r="G53" s="889"/>
      <c r="H53" s="888" t="s">
        <v>293</v>
      </c>
      <c r="I53" s="889"/>
      <c r="J53" s="889"/>
      <c r="K53" s="889"/>
      <c r="L53" s="889"/>
      <c r="M53" s="889"/>
      <c r="N53" s="515" t="s">
        <v>293</v>
      </c>
      <c r="O53" s="515" t="s">
        <v>293</v>
      </c>
      <c r="P53" s="515" t="s">
        <v>293</v>
      </c>
      <c r="Q53" s="890">
        <v>6.84</v>
      </c>
      <c r="R53" s="889"/>
      <c r="S53" s="890">
        <v>45.6</v>
      </c>
      <c r="T53" s="889"/>
      <c r="U53" s="890">
        <v>133.78</v>
      </c>
      <c r="V53" s="889"/>
      <c r="W53" s="889"/>
      <c r="X53" s="889"/>
      <c r="Y53" s="889"/>
    </row>
    <row r="54" spans="1:25" ht="24" customHeight="1" x14ac:dyDescent="0.2">
      <c r="A54" s="888" t="s">
        <v>293</v>
      </c>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row>
    <row r="55" spans="1:25" ht="12" customHeight="1" x14ac:dyDescent="0.2">
      <c r="A55" s="888" t="s">
        <v>307</v>
      </c>
      <c r="B55" s="889"/>
      <c r="C55" s="515" t="s">
        <v>293</v>
      </c>
      <c r="D55" s="515" t="s">
        <v>662</v>
      </c>
      <c r="E55" s="888" t="s">
        <v>663</v>
      </c>
      <c r="F55" s="889"/>
      <c r="G55" s="889"/>
      <c r="H55" s="888" t="s">
        <v>293</v>
      </c>
      <c r="I55" s="889"/>
      <c r="J55" s="889"/>
      <c r="K55" s="889"/>
      <c r="L55" s="889"/>
      <c r="M55" s="889"/>
      <c r="N55" s="889"/>
      <c r="O55" s="889"/>
      <c r="P55" s="889"/>
      <c r="Q55" s="889"/>
      <c r="R55" s="889"/>
      <c r="S55" s="889"/>
      <c r="T55" s="889"/>
      <c r="U55" s="890">
        <v>2656.38</v>
      </c>
      <c r="V55" s="889"/>
      <c r="W55" s="889"/>
      <c r="X55" s="889"/>
      <c r="Y55" s="889"/>
    </row>
    <row r="56" spans="1:25" x14ac:dyDescent="0.2">
      <c r="A56" s="516" t="s">
        <v>2101</v>
      </c>
      <c r="B56" s="512" t="s">
        <v>325</v>
      </c>
      <c r="C56" s="516" t="s">
        <v>2102</v>
      </c>
      <c r="D56" s="892" t="s">
        <v>2103</v>
      </c>
      <c r="E56" s="889"/>
      <c r="F56" s="889"/>
      <c r="G56" s="512" t="s">
        <v>293</v>
      </c>
      <c r="H56" s="893" t="s">
        <v>293</v>
      </c>
      <c r="I56" s="889"/>
      <c r="J56" s="889"/>
      <c r="K56" s="512" t="s">
        <v>316</v>
      </c>
      <c r="L56" s="893" t="s">
        <v>317</v>
      </c>
      <c r="M56" s="889"/>
      <c r="N56" s="512" t="s">
        <v>318</v>
      </c>
      <c r="O56" s="512" t="s">
        <v>293</v>
      </c>
      <c r="P56" s="512" t="s">
        <v>293</v>
      </c>
      <c r="Q56" s="894">
        <v>5.45</v>
      </c>
      <c r="R56" s="889"/>
      <c r="S56" s="894">
        <v>36.35</v>
      </c>
      <c r="T56" s="889"/>
      <c r="U56" s="891">
        <v>2692.73</v>
      </c>
      <c r="V56" s="889"/>
      <c r="W56" s="889"/>
      <c r="X56" s="889"/>
      <c r="Y56" s="889"/>
    </row>
    <row r="57" spans="1:25" x14ac:dyDescent="0.2">
      <c r="A57" s="888" t="s">
        <v>293</v>
      </c>
      <c r="B57" s="889"/>
      <c r="C57" s="889"/>
      <c r="D57" s="889"/>
      <c r="E57" s="888" t="s">
        <v>663</v>
      </c>
      <c r="F57" s="889"/>
      <c r="G57" s="889"/>
      <c r="H57" s="888" t="s">
        <v>293</v>
      </c>
      <c r="I57" s="889"/>
      <c r="J57" s="889"/>
      <c r="K57" s="889"/>
      <c r="L57" s="889"/>
      <c r="M57" s="889"/>
      <c r="N57" s="515" t="s">
        <v>293</v>
      </c>
      <c r="O57" s="515" t="s">
        <v>293</v>
      </c>
      <c r="P57" s="515" t="s">
        <v>293</v>
      </c>
      <c r="Q57" s="890">
        <v>5.45</v>
      </c>
      <c r="R57" s="889"/>
      <c r="S57" s="890">
        <v>36.35</v>
      </c>
      <c r="T57" s="889"/>
      <c r="U57" s="890">
        <v>2692.73</v>
      </c>
      <c r="V57" s="889"/>
      <c r="W57" s="889"/>
      <c r="X57" s="889"/>
      <c r="Y57" s="889"/>
    </row>
    <row r="58" spans="1:25" ht="24" customHeight="1" x14ac:dyDescent="0.2">
      <c r="A58" s="888" t="s">
        <v>293</v>
      </c>
      <c r="B58" s="889"/>
      <c r="C58" s="889"/>
      <c r="D58" s="889"/>
      <c r="E58" s="889"/>
      <c r="F58" s="889"/>
      <c r="G58" s="889"/>
      <c r="H58" s="889"/>
      <c r="I58" s="889"/>
      <c r="J58" s="889"/>
      <c r="K58" s="889"/>
      <c r="L58" s="889"/>
      <c r="M58" s="889"/>
      <c r="N58" s="889"/>
      <c r="O58" s="889"/>
      <c r="P58" s="889"/>
      <c r="Q58" s="889"/>
      <c r="R58" s="889"/>
      <c r="S58" s="889"/>
      <c r="T58" s="889"/>
      <c r="U58" s="889"/>
      <c r="V58" s="889"/>
      <c r="W58" s="889"/>
      <c r="X58" s="889"/>
      <c r="Y58" s="889"/>
    </row>
    <row r="59" spans="1:25" ht="12" customHeight="1" x14ac:dyDescent="0.2">
      <c r="A59" s="888" t="s">
        <v>307</v>
      </c>
      <c r="B59" s="889"/>
      <c r="C59" s="515" t="s">
        <v>293</v>
      </c>
      <c r="D59" s="515" t="s">
        <v>432</v>
      </c>
      <c r="E59" s="888" t="s">
        <v>433</v>
      </c>
      <c r="F59" s="889"/>
      <c r="G59" s="889"/>
      <c r="H59" s="888" t="s">
        <v>293</v>
      </c>
      <c r="I59" s="889"/>
      <c r="J59" s="889"/>
      <c r="K59" s="889"/>
      <c r="L59" s="889"/>
      <c r="M59" s="889"/>
      <c r="N59" s="889"/>
      <c r="O59" s="889"/>
      <c r="P59" s="889"/>
      <c r="Q59" s="889"/>
      <c r="R59" s="889"/>
      <c r="S59" s="889"/>
      <c r="T59" s="889"/>
      <c r="U59" s="890">
        <v>34160.92</v>
      </c>
      <c r="V59" s="889"/>
      <c r="W59" s="889"/>
      <c r="X59" s="889"/>
      <c r="Y59" s="889"/>
    </row>
    <row r="60" spans="1:25" ht="24" x14ac:dyDescent="0.2">
      <c r="A60" s="516" t="s">
        <v>2063</v>
      </c>
      <c r="B60" s="512" t="s">
        <v>311</v>
      </c>
      <c r="C60" s="516" t="s">
        <v>2104</v>
      </c>
      <c r="D60" s="892" t="s">
        <v>2105</v>
      </c>
      <c r="E60" s="889"/>
      <c r="F60" s="889"/>
      <c r="G60" s="512" t="s">
        <v>2106</v>
      </c>
      <c r="H60" s="893" t="s">
        <v>2107</v>
      </c>
      <c r="I60" s="889"/>
      <c r="J60" s="889"/>
      <c r="K60" s="512" t="s">
        <v>316</v>
      </c>
      <c r="L60" s="893" t="s">
        <v>317</v>
      </c>
      <c r="M60" s="889"/>
      <c r="N60" s="512" t="s">
        <v>318</v>
      </c>
      <c r="O60" s="512" t="s">
        <v>293</v>
      </c>
      <c r="P60" s="512" t="s">
        <v>293</v>
      </c>
      <c r="Q60" s="894">
        <v>2970.92</v>
      </c>
      <c r="R60" s="889"/>
      <c r="S60" s="894">
        <v>19806.099999999999</v>
      </c>
      <c r="T60" s="889"/>
      <c r="U60" s="891">
        <v>53967.02</v>
      </c>
      <c r="V60" s="889"/>
      <c r="W60" s="889"/>
      <c r="X60" s="889"/>
      <c r="Y60" s="889"/>
    </row>
    <row r="61" spans="1:25" ht="24" x14ac:dyDescent="0.2">
      <c r="A61" s="516" t="s">
        <v>2108</v>
      </c>
      <c r="B61" s="512" t="s">
        <v>311</v>
      </c>
      <c r="C61" s="516" t="s">
        <v>2109</v>
      </c>
      <c r="D61" s="892" t="s">
        <v>2110</v>
      </c>
      <c r="E61" s="889"/>
      <c r="F61" s="889"/>
      <c r="G61" s="512" t="s">
        <v>2106</v>
      </c>
      <c r="H61" s="893" t="s">
        <v>2111</v>
      </c>
      <c r="I61" s="889"/>
      <c r="J61" s="889"/>
      <c r="K61" s="512" t="s">
        <v>316</v>
      </c>
      <c r="L61" s="893" t="s">
        <v>317</v>
      </c>
      <c r="M61" s="889"/>
      <c r="N61" s="512" t="s">
        <v>318</v>
      </c>
      <c r="O61" s="512" t="s">
        <v>293</v>
      </c>
      <c r="P61" s="512" t="s">
        <v>293</v>
      </c>
      <c r="Q61" s="894">
        <v>1272.98</v>
      </c>
      <c r="R61" s="889"/>
      <c r="S61" s="894">
        <v>8486.5300000000007</v>
      </c>
      <c r="T61" s="889"/>
      <c r="U61" s="891">
        <v>62453.55</v>
      </c>
      <c r="V61" s="889"/>
      <c r="W61" s="889"/>
      <c r="X61" s="889"/>
      <c r="Y61" s="889"/>
    </row>
    <row r="62" spans="1:25" x14ac:dyDescent="0.2">
      <c r="A62" s="888" t="s">
        <v>293</v>
      </c>
      <c r="B62" s="889"/>
      <c r="C62" s="889"/>
      <c r="D62" s="889"/>
      <c r="E62" s="888" t="s">
        <v>433</v>
      </c>
      <c r="F62" s="889"/>
      <c r="G62" s="889"/>
      <c r="H62" s="888" t="s">
        <v>293</v>
      </c>
      <c r="I62" s="889"/>
      <c r="J62" s="889"/>
      <c r="K62" s="889"/>
      <c r="L62" s="889"/>
      <c r="M62" s="889"/>
      <c r="N62" s="515" t="s">
        <v>293</v>
      </c>
      <c r="O62" s="515" t="s">
        <v>293</v>
      </c>
      <c r="P62" s="515" t="s">
        <v>293</v>
      </c>
      <c r="Q62" s="890">
        <v>4243.8999999999996</v>
      </c>
      <c r="R62" s="889"/>
      <c r="S62" s="890">
        <v>28292.63</v>
      </c>
      <c r="T62" s="889"/>
      <c r="U62" s="890">
        <v>62453.55</v>
      </c>
      <c r="V62" s="889"/>
      <c r="W62" s="889"/>
      <c r="X62" s="889"/>
      <c r="Y62" s="889"/>
    </row>
    <row r="63" spans="1:25" ht="24" customHeight="1" x14ac:dyDescent="0.2">
      <c r="A63" s="888" t="s">
        <v>293</v>
      </c>
      <c r="B63" s="889"/>
      <c r="C63" s="889"/>
      <c r="D63" s="889"/>
      <c r="E63" s="889"/>
      <c r="F63" s="889"/>
      <c r="G63" s="889"/>
      <c r="H63" s="889"/>
      <c r="I63" s="889"/>
      <c r="J63" s="889"/>
      <c r="K63" s="889"/>
      <c r="L63" s="889"/>
      <c r="M63" s="889"/>
      <c r="N63" s="889"/>
      <c r="O63" s="889"/>
      <c r="P63" s="889"/>
      <c r="Q63" s="889"/>
      <c r="R63" s="889"/>
      <c r="S63" s="889"/>
      <c r="T63" s="889"/>
      <c r="U63" s="889"/>
      <c r="V63" s="889"/>
      <c r="W63" s="889"/>
      <c r="X63" s="889"/>
      <c r="Y63" s="889"/>
    </row>
    <row r="64" spans="1:25" ht="24" customHeight="1" x14ac:dyDescent="0.2">
      <c r="A64" s="888" t="s">
        <v>293</v>
      </c>
      <c r="B64" s="889"/>
      <c r="C64" s="889"/>
      <c r="D64" s="889"/>
      <c r="E64" s="889"/>
      <c r="F64" s="889"/>
      <c r="G64" s="889"/>
      <c r="H64" s="889"/>
      <c r="I64" s="889"/>
      <c r="J64" s="889"/>
      <c r="K64" s="889"/>
      <c r="L64" s="889"/>
      <c r="M64" s="889"/>
      <c r="N64" s="889"/>
      <c r="O64" s="889"/>
      <c r="P64" s="889"/>
      <c r="Q64" s="889"/>
      <c r="R64" s="889"/>
      <c r="S64" s="889"/>
      <c r="T64" s="889"/>
      <c r="U64" s="889"/>
      <c r="V64" s="889"/>
      <c r="W64" s="889"/>
      <c r="X64" s="889"/>
      <c r="Y64" s="889"/>
    </row>
    <row r="65" ht="0" hidden="1" customHeight="1" x14ac:dyDescent="0.2"/>
  </sheetData>
  <mergeCells count="235">
    <mergeCell ref="A1:E1"/>
    <mergeCell ref="T1:W1"/>
    <mergeCell ref="A2:E2"/>
    <mergeCell ref="A4:E4"/>
    <mergeCell ref="R4:W4"/>
    <mergeCell ref="A6:I6"/>
    <mergeCell ref="A14:Y14"/>
    <mergeCell ref="A8:L8"/>
    <mergeCell ref="A9:H9"/>
    <mergeCell ref="I9:L9"/>
    <mergeCell ref="H12:Y12"/>
    <mergeCell ref="D13:F13"/>
    <mergeCell ref="H13:J13"/>
    <mergeCell ref="L13:M13"/>
    <mergeCell ref="Q13:R13"/>
    <mergeCell ref="S13:T13"/>
    <mergeCell ref="U13:Y13"/>
    <mergeCell ref="U16:Y16"/>
    <mergeCell ref="A17:D17"/>
    <mergeCell ref="E17:G17"/>
    <mergeCell ref="H17:M17"/>
    <mergeCell ref="Q17:R17"/>
    <mergeCell ref="S17:T17"/>
    <mergeCell ref="U17:Y17"/>
    <mergeCell ref="A15:B15"/>
    <mergeCell ref="E15:G15"/>
    <mergeCell ref="H15:T15"/>
    <mergeCell ref="U15:Y15"/>
    <mergeCell ref="D16:F16"/>
    <mergeCell ref="H16:J16"/>
    <mergeCell ref="L16:M16"/>
    <mergeCell ref="Q16:R16"/>
    <mergeCell ref="S16:T16"/>
    <mergeCell ref="U20:Y20"/>
    <mergeCell ref="A21:D21"/>
    <mergeCell ref="E21:G21"/>
    <mergeCell ref="H21:M21"/>
    <mergeCell ref="Q21:R21"/>
    <mergeCell ref="S21:T21"/>
    <mergeCell ref="U21:Y21"/>
    <mergeCell ref="A18:Y18"/>
    <mergeCell ref="A19:B19"/>
    <mergeCell ref="E19:G19"/>
    <mergeCell ref="H19:T19"/>
    <mergeCell ref="U19:Y19"/>
    <mergeCell ref="D20:F20"/>
    <mergeCell ref="H20:J20"/>
    <mergeCell ref="L20:M20"/>
    <mergeCell ref="Q20:R20"/>
    <mergeCell ref="S20:T20"/>
    <mergeCell ref="A22:Y22"/>
    <mergeCell ref="A23:B23"/>
    <mergeCell ref="E23:G23"/>
    <mergeCell ref="H23:T23"/>
    <mergeCell ref="U23:Y23"/>
    <mergeCell ref="D24:F24"/>
    <mergeCell ref="H24:J24"/>
    <mergeCell ref="L24:M24"/>
    <mergeCell ref="Q24:R24"/>
    <mergeCell ref="S24:T24"/>
    <mergeCell ref="A26:D26"/>
    <mergeCell ref="E26:G26"/>
    <mergeCell ref="H26:M26"/>
    <mergeCell ref="Q26:R26"/>
    <mergeCell ref="S26:T26"/>
    <mergeCell ref="U26:Y26"/>
    <mergeCell ref="U24:Y24"/>
    <mergeCell ref="D25:F25"/>
    <mergeCell ref="H25:J25"/>
    <mergeCell ref="L25:M25"/>
    <mergeCell ref="Q25:R25"/>
    <mergeCell ref="S25:T25"/>
    <mergeCell ref="U25:Y25"/>
    <mergeCell ref="U29:Y29"/>
    <mergeCell ref="A30:D30"/>
    <mergeCell ref="E30:G30"/>
    <mergeCell ref="H30:M30"/>
    <mergeCell ref="Q30:R30"/>
    <mergeCell ref="S30:T30"/>
    <mergeCell ref="U30:Y30"/>
    <mergeCell ref="A27:Y27"/>
    <mergeCell ref="A28:B28"/>
    <mergeCell ref="E28:G28"/>
    <mergeCell ref="H28:T28"/>
    <mergeCell ref="U28:Y28"/>
    <mergeCell ref="D29:F29"/>
    <mergeCell ref="H29:J29"/>
    <mergeCell ref="L29:M29"/>
    <mergeCell ref="Q29:R29"/>
    <mergeCell ref="S29:T29"/>
    <mergeCell ref="U33:Y33"/>
    <mergeCell ref="A34:D34"/>
    <mergeCell ref="E34:G34"/>
    <mergeCell ref="H34:M34"/>
    <mergeCell ref="Q34:R34"/>
    <mergeCell ref="S34:T34"/>
    <mergeCell ref="U34:Y34"/>
    <mergeCell ref="A31:Y31"/>
    <mergeCell ref="A32:B32"/>
    <mergeCell ref="E32:G32"/>
    <mergeCell ref="H32:T32"/>
    <mergeCell ref="U32:Y32"/>
    <mergeCell ref="D33:F33"/>
    <mergeCell ref="H33:J33"/>
    <mergeCell ref="L33:M33"/>
    <mergeCell ref="Q33:R33"/>
    <mergeCell ref="S33:T33"/>
    <mergeCell ref="A35:Y35"/>
    <mergeCell ref="A36:B36"/>
    <mergeCell ref="E36:G36"/>
    <mergeCell ref="H36:T36"/>
    <mergeCell ref="U36:Y36"/>
    <mergeCell ref="D37:F37"/>
    <mergeCell ref="H37:J37"/>
    <mergeCell ref="L37:M37"/>
    <mergeCell ref="Q37:R37"/>
    <mergeCell ref="S37:T37"/>
    <mergeCell ref="D39:F39"/>
    <mergeCell ref="H39:J39"/>
    <mergeCell ref="L39:M39"/>
    <mergeCell ref="Q39:R39"/>
    <mergeCell ref="S39:T39"/>
    <mergeCell ref="U39:Y39"/>
    <mergeCell ref="U37:Y37"/>
    <mergeCell ref="D38:F38"/>
    <mergeCell ref="H38:J38"/>
    <mergeCell ref="L38:M38"/>
    <mergeCell ref="Q38:R38"/>
    <mergeCell ref="S38:T38"/>
    <mergeCell ref="U38:Y38"/>
    <mergeCell ref="A41:D41"/>
    <mergeCell ref="E41:G41"/>
    <mergeCell ref="H41:M41"/>
    <mergeCell ref="Q41:R41"/>
    <mergeCell ref="S41:T41"/>
    <mergeCell ref="U41:Y41"/>
    <mergeCell ref="D40:F40"/>
    <mergeCell ref="H40:J40"/>
    <mergeCell ref="L40:M40"/>
    <mergeCell ref="Q40:R40"/>
    <mergeCell ref="S40:T40"/>
    <mergeCell ref="U40:Y40"/>
    <mergeCell ref="U44:Y44"/>
    <mergeCell ref="A45:D45"/>
    <mergeCell ref="E45:G45"/>
    <mergeCell ref="H45:M45"/>
    <mergeCell ref="Q45:R45"/>
    <mergeCell ref="S45:T45"/>
    <mergeCell ref="U45:Y45"/>
    <mergeCell ref="A42:Y42"/>
    <mergeCell ref="A43:B43"/>
    <mergeCell ref="E43:G43"/>
    <mergeCell ref="H43:T43"/>
    <mergeCell ref="U43:Y43"/>
    <mergeCell ref="D44:F44"/>
    <mergeCell ref="H44:J44"/>
    <mergeCell ref="L44:M44"/>
    <mergeCell ref="Q44:R44"/>
    <mergeCell ref="S44:T44"/>
    <mergeCell ref="U48:Y48"/>
    <mergeCell ref="A49:D49"/>
    <mergeCell ref="E49:G49"/>
    <mergeCell ref="H49:M49"/>
    <mergeCell ref="Q49:R49"/>
    <mergeCell ref="S49:T49"/>
    <mergeCell ref="U49:Y49"/>
    <mergeCell ref="A46:Y46"/>
    <mergeCell ref="A47:B47"/>
    <mergeCell ref="E47:G47"/>
    <mergeCell ref="H47:T47"/>
    <mergeCell ref="U47:Y47"/>
    <mergeCell ref="D48:F48"/>
    <mergeCell ref="H48:J48"/>
    <mergeCell ref="L48:M48"/>
    <mergeCell ref="Q48:R48"/>
    <mergeCell ref="S48:T48"/>
    <mergeCell ref="U52:Y52"/>
    <mergeCell ref="A53:D53"/>
    <mergeCell ref="E53:G53"/>
    <mergeCell ref="H53:M53"/>
    <mergeCell ref="Q53:R53"/>
    <mergeCell ref="S53:T53"/>
    <mergeCell ref="U53:Y53"/>
    <mergeCell ref="A50:Y50"/>
    <mergeCell ref="A51:B51"/>
    <mergeCell ref="E51:G51"/>
    <mergeCell ref="H51:T51"/>
    <mergeCell ref="U51:Y51"/>
    <mergeCell ref="D52:F52"/>
    <mergeCell ref="H52:J52"/>
    <mergeCell ref="L52:M52"/>
    <mergeCell ref="Q52:R52"/>
    <mergeCell ref="S52:T52"/>
    <mergeCell ref="U56:Y56"/>
    <mergeCell ref="A57:D57"/>
    <mergeCell ref="E57:G57"/>
    <mergeCell ref="H57:M57"/>
    <mergeCell ref="Q57:R57"/>
    <mergeCell ref="S57:T57"/>
    <mergeCell ref="U57:Y57"/>
    <mergeCell ref="A54:Y54"/>
    <mergeCell ref="A55:B55"/>
    <mergeCell ref="E55:G55"/>
    <mergeCell ref="H55:T55"/>
    <mergeCell ref="U55:Y55"/>
    <mergeCell ref="D56:F56"/>
    <mergeCell ref="H56:J56"/>
    <mergeCell ref="L56:M56"/>
    <mergeCell ref="Q56:R56"/>
    <mergeCell ref="S56:T56"/>
    <mergeCell ref="A58:Y58"/>
    <mergeCell ref="A59:B59"/>
    <mergeCell ref="E59:G59"/>
    <mergeCell ref="H59:T59"/>
    <mergeCell ref="U59:Y59"/>
    <mergeCell ref="D60:F60"/>
    <mergeCell ref="H60:J60"/>
    <mergeCell ref="L60:M60"/>
    <mergeCell ref="Q60:R60"/>
    <mergeCell ref="S60:T60"/>
    <mergeCell ref="A64:Y64"/>
    <mergeCell ref="A63:Y63"/>
    <mergeCell ref="A62:D62"/>
    <mergeCell ref="E62:G62"/>
    <mergeCell ref="H62:M62"/>
    <mergeCell ref="Q62:R62"/>
    <mergeCell ref="S62:T62"/>
    <mergeCell ref="U62:Y62"/>
    <mergeCell ref="U60:Y60"/>
    <mergeCell ref="D61:F61"/>
    <mergeCell ref="H61:J61"/>
    <mergeCell ref="L61:M61"/>
    <mergeCell ref="Q61:R61"/>
    <mergeCell ref="S61:T61"/>
    <mergeCell ref="U61:Y61"/>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54C3-A0EC-42BF-A2CB-1E2B699C9E75}">
  <dimension ref="A1:AB33"/>
  <sheetViews>
    <sheetView showGridLines="0" topLeftCell="C1" workbookViewId="0">
      <pane ySplit="7" topLeftCell="A8" activePane="bottomLeft" state="frozen"/>
      <selection activeCell="D23" sqref="D23:G23"/>
      <selection pane="bottomLeft" activeCell="A23" sqref="A23:Y23"/>
    </sheetView>
  </sheetViews>
  <sheetFormatPr defaultColWidth="8.85546875" defaultRowHeight="12" x14ac:dyDescent="0.2"/>
  <cols>
    <col min="1" max="1" width="13.5703125" style="511" customWidth="1"/>
    <col min="2" max="2" width="14" style="511" customWidth="1"/>
    <col min="3" max="3" width="16.42578125" style="511" customWidth="1"/>
    <col min="4" max="4" width="8.85546875" style="511" customWidth="1"/>
    <col min="5" max="5" width="38.7109375" style="511" customWidth="1"/>
    <col min="6" max="6" width="22.140625" style="511" customWidth="1"/>
    <col min="7" max="7" width="17.28515625" style="511" customWidth="1"/>
    <col min="8" max="8" width="3.85546875" style="511" customWidth="1"/>
    <col min="9" max="9" width="0.140625" style="511" customWidth="1"/>
    <col min="10" max="10" width="15" style="511" customWidth="1"/>
    <col min="11" max="11" width="8.85546875" style="511" customWidth="1"/>
    <col min="12" max="12" width="6.7109375" style="511" customWidth="1"/>
    <col min="13" max="13" width="2.28515625" style="511" customWidth="1"/>
    <col min="14" max="14" width="7.7109375" style="511" customWidth="1"/>
    <col min="15" max="15" width="8.5703125" style="511" customWidth="1"/>
    <col min="16" max="16" width="9.140625" style="511" customWidth="1"/>
    <col min="17" max="17" width="8.5703125" style="511" customWidth="1"/>
    <col min="18" max="19" width="0.28515625" style="511" customWidth="1"/>
    <col min="20" max="20" width="9.28515625" style="511" customWidth="1"/>
    <col min="21" max="21" width="1.28515625" style="511" customWidth="1"/>
    <col min="22" max="22" width="4" style="511" customWidth="1"/>
    <col min="23" max="23" width="2.42578125" style="511" customWidth="1"/>
    <col min="24" max="24" width="0" style="511" hidden="1" customWidth="1"/>
    <col min="25" max="25" width="1.5703125" style="511" customWidth="1"/>
    <col min="26" max="26" width="0" style="511" hidden="1" customWidth="1"/>
    <col min="27" max="27" width="0.28515625" style="511" customWidth="1"/>
    <col min="28" max="16384" width="8.85546875" style="511"/>
  </cols>
  <sheetData>
    <row r="1" spans="1:28" ht="12" customHeight="1" x14ac:dyDescent="0.2">
      <c r="A1" s="905" t="s">
        <v>285</v>
      </c>
      <c r="B1" s="889"/>
      <c r="C1" s="889"/>
      <c r="D1" s="889"/>
      <c r="E1" s="889"/>
      <c r="T1" s="906" t="s">
        <v>2112</v>
      </c>
      <c r="U1" s="889"/>
      <c r="V1" s="889"/>
      <c r="W1" s="889"/>
    </row>
    <row r="2" spans="1:28" ht="12" customHeight="1" x14ac:dyDescent="0.2">
      <c r="A2" s="893" t="s">
        <v>2113</v>
      </c>
      <c r="B2" s="889"/>
      <c r="C2" s="889"/>
      <c r="D2" s="889"/>
      <c r="E2" s="889"/>
      <c r="V2" s="512" t="s">
        <v>288</v>
      </c>
      <c r="W2" s="513">
        <v>1</v>
      </c>
    </row>
    <row r="3" spans="1:28" ht="0" hidden="1" customHeight="1" x14ac:dyDescent="0.2"/>
    <row r="4" spans="1:28" ht="12" customHeight="1" x14ac:dyDescent="0.2">
      <c r="A4" s="893" t="s">
        <v>289</v>
      </c>
      <c r="B4" s="889"/>
      <c r="C4" s="889"/>
      <c r="D4" s="889"/>
      <c r="E4" s="889"/>
      <c r="R4" s="906" t="s">
        <v>290</v>
      </c>
      <c r="S4" s="889"/>
      <c r="T4" s="889"/>
      <c r="U4" s="889"/>
      <c r="V4" s="889"/>
      <c r="W4" s="889"/>
    </row>
    <row r="5" spans="1:28" ht="9.1999999999999993" customHeight="1" x14ac:dyDescent="0.2"/>
    <row r="6" spans="1:28" ht="12" customHeight="1" x14ac:dyDescent="0.2">
      <c r="A6" s="888" t="s">
        <v>291</v>
      </c>
      <c r="B6" s="889"/>
      <c r="C6" s="889"/>
      <c r="D6" s="889"/>
      <c r="E6" s="889"/>
      <c r="F6" s="889"/>
      <c r="G6" s="889"/>
      <c r="H6" s="889"/>
      <c r="I6" s="889"/>
    </row>
    <row r="7" spans="1:28" ht="15" customHeight="1" x14ac:dyDescent="0.2"/>
    <row r="8" spans="1:28" ht="12" customHeight="1" x14ac:dyDescent="0.2">
      <c r="A8" s="888" t="s">
        <v>2114</v>
      </c>
      <c r="B8" s="889"/>
      <c r="C8" s="889"/>
      <c r="D8" s="889"/>
      <c r="E8" s="889"/>
      <c r="F8" s="889"/>
      <c r="G8" s="889"/>
      <c r="H8" s="889"/>
      <c r="I8" s="889"/>
      <c r="J8" s="889"/>
      <c r="K8" s="889"/>
      <c r="L8" s="889"/>
    </row>
    <row r="9" spans="1:28" ht="12" customHeight="1" x14ac:dyDescent="0.2">
      <c r="A9" s="888" t="s">
        <v>293</v>
      </c>
      <c r="B9" s="889"/>
      <c r="C9" s="889"/>
      <c r="D9" s="889"/>
      <c r="E9" s="889"/>
      <c r="F9" s="889"/>
      <c r="G9" s="889"/>
      <c r="H9" s="889"/>
      <c r="I9" s="888" t="s">
        <v>293</v>
      </c>
      <c r="J9" s="889"/>
      <c r="K9" s="889"/>
      <c r="L9" s="889"/>
    </row>
    <row r="10" spans="1:28" ht="0" hidden="1" customHeight="1" x14ac:dyDescent="0.2"/>
    <row r="11" spans="1:28" ht="6" customHeight="1" x14ac:dyDescent="0.2"/>
    <row r="12" spans="1:28" ht="2.25" customHeight="1" x14ac:dyDescent="0.2">
      <c r="H12" s="907" t="s">
        <v>293</v>
      </c>
      <c r="I12" s="889"/>
      <c r="J12" s="889"/>
      <c r="K12" s="889"/>
      <c r="L12" s="889"/>
      <c r="M12" s="889"/>
      <c r="N12" s="889"/>
      <c r="O12" s="889"/>
      <c r="P12" s="889"/>
      <c r="Q12" s="889"/>
      <c r="R12" s="889"/>
      <c r="S12" s="889"/>
      <c r="T12" s="889"/>
      <c r="U12" s="889"/>
      <c r="V12" s="889"/>
      <c r="W12" s="889"/>
      <c r="X12" s="889"/>
      <c r="Y12" s="889"/>
    </row>
    <row r="13" spans="1:28" ht="24" x14ac:dyDescent="0.2">
      <c r="A13" s="514" t="s">
        <v>294</v>
      </c>
      <c r="B13" s="514" t="s">
        <v>295</v>
      </c>
      <c r="C13" s="514" t="s">
        <v>296</v>
      </c>
      <c r="D13" s="907" t="s">
        <v>185</v>
      </c>
      <c r="E13" s="889"/>
      <c r="F13" s="889"/>
      <c r="G13" s="514" t="s">
        <v>297</v>
      </c>
      <c r="H13" s="907" t="s">
        <v>298</v>
      </c>
      <c r="I13" s="889"/>
      <c r="J13" s="889"/>
      <c r="K13" s="514" t="s">
        <v>299</v>
      </c>
      <c r="L13" s="907" t="s">
        <v>300</v>
      </c>
      <c r="M13" s="889"/>
      <c r="N13" s="514" t="s">
        <v>301</v>
      </c>
      <c r="O13" s="514" t="s">
        <v>302</v>
      </c>
      <c r="P13" s="514" t="s">
        <v>303</v>
      </c>
      <c r="Q13" s="908" t="s">
        <v>304</v>
      </c>
      <c r="R13" s="889"/>
      <c r="S13" s="908" t="s">
        <v>305</v>
      </c>
      <c r="T13" s="889"/>
      <c r="U13" s="908" t="s">
        <v>306</v>
      </c>
      <c r="V13" s="889"/>
      <c r="W13" s="889"/>
      <c r="X13" s="889"/>
      <c r="Y13" s="889"/>
    </row>
    <row r="14" spans="1:28" ht="24" customHeight="1" x14ac:dyDescent="0.2">
      <c r="A14" s="888" t="s">
        <v>293</v>
      </c>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row>
    <row r="15" spans="1:28" ht="12" customHeight="1" x14ac:dyDescent="0.2">
      <c r="A15" s="888" t="s">
        <v>307</v>
      </c>
      <c r="B15" s="889"/>
      <c r="C15" s="515" t="s">
        <v>293</v>
      </c>
      <c r="D15" s="515" t="s">
        <v>382</v>
      </c>
      <c r="E15" s="888" t="s">
        <v>383</v>
      </c>
      <c r="F15" s="889"/>
      <c r="G15" s="889"/>
      <c r="H15" s="888" t="s">
        <v>293</v>
      </c>
      <c r="I15" s="889"/>
      <c r="J15" s="889"/>
      <c r="K15" s="889"/>
      <c r="L15" s="889"/>
      <c r="M15" s="889"/>
      <c r="N15" s="889"/>
      <c r="O15" s="889"/>
      <c r="P15" s="889"/>
      <c r="Q15" s="889"/>
      <c r="R15" s="889"/>
      <c r="S15" s="889"/>
      <c r="T15" s="889"/>
      <c r="U15" s="890">
        <v>272.05</v>
      </c>
      <c r="V15" s="889"/>
      <c r="W15" s="889"/>
      <c r="X15" s="889"/>
      <c r="Y15" s="889"/>
    </row>
    <row r="16" spans="1:28" s="519" customFormat="1" ht="24" x14ac:dyDescent="0.2">
      <c r="A16" s="535" t="s">
        <v>2115</v>
      </c>
      <c r="B16" s="536" t="s">
        <v>311</v>
      </c>
      <c r="C16" s="535" t="s">
        <v>2116</v>
      </c>
      <c r="D16" s="910" t="s">
        <v>2117</v>
      </c>
      <c r="E16" s="901"/>
      <c r="F16" s="901"/>
      <c r="G16" s="536" t="s">
        <v>505</v>
      </c>
      <c r="H16" s="911" t="s">
        <v>2118</v>
      </c>
      <c r="I16" s="901"/>
      <c r="J16" s="901"/>
      <c r="K16" s="536" t="s">
        <v>316</v>
      </c>
      <c r="L16" s="911" t="s">
        <v>317</v>
      </c>
      <c r="M16" s="901"/>
      <c r="N16" s="536" t="s">
        <v>318</v>
      </c>
      <c r="O16" s="536" t="s">
        <v>293</v>
      </c>
      <c r="P16" s="536" t="s">
        <v>293</v>
      </c>
      <c r="Q16" s="912">
        <v>1.5</v>
      </c>
      <c r="R16" s="901"/>
      <c r="S16" s="912">
        <v>10</v>
      </c>
      <c r="T16" s="901"/>
      <c r="U16" s="909">
        <v>282.05</v>
      </c>
      <c r="V16" s="901"/>
      <c r="W16" s="901"/>
      <c r="X16" s="901"/>
      <c r="Y16" s="901"/>
      <c r="AB16" s="519" t="s">
        <v>2119</v>
      </c>
    </row>
    <row r="17" spans="1:28" s="519" customFormat="1" x14ac:dyDescent="0.2">
      <c r="A17" s="535" t="s">
        <v>2120</v>
      </c>
      <c r="B17" s="536" t="s">
        <v>325</v>
      </c>
      <c r="C17" s="535" t="s">
        <v>2121</v>
      </c>
      <c r="D17" s="910" t="s">
        <v>2122</v>
      </c>
      <c r="E17" s="901"/>
      <c r="F17" s="901"/>
      <c r="G17" s="536" t="s">
        <v>293</v>
      </c>
      <c r="H17" s="911" t="s">
        <v>293</v>
      </c>
      <c r="I17" s="901"/>
      <c r="J17" s="901"/>
      <c r="K17" s="536" t="s">
        <v>316</v>
      </c>
      <c r="L17" s="911" t="s">
        <v>317</v>
      </c>
      <c r="M17" s="901"/>
      <c r="N17" s="536" t="s">
        <v>318</v>
      </c>
      <c r="O17" s="536" t="s">
        <v>293</v>
      </c>
      <c r="P17" s="536" t="s">
        <v>293</v>
      </c>
      <c r="Q17" s="912">
        <v>0</v>
      </c>
      <c r="R17" s="901"/>
      <c r="S17" s="912">
        <v>25.85</v>
      </c>
      <c r="T17" s="901"/>
      <c r="U17" s="909">
        <v>307.89999999999998</v>
      </c>
      <c r="V17" s="901"/>
      <c r="W17" s="901"/>
      <c r="X17" s="901"/>
      <c r="Y17" s="901"/>
      <c r="AB17" s="519" t="s">
        <v>2123</v>
      </c>
    </row>
    <row r="18" spans="1:28" x14ac:dyDescent="0.2">
      <c r="A18" s="888" t="s">
        <v>293</v>
      </c>
      <c r="B18" s="889"/>
      <c r="C18" s="889"/>
      <c r="D18" s="889"/>
      <c r="E18" s="888" t="s">
        <v>383</v>
      </c>
      <c r="F18" s="889"/>
      <c r="G18" s="889"/>
      <c r="H18" s="888" t="s">
        <v>293</v>
      </c>
      <c r="I18" s="889"/>
      <c r="J18" s="889"/>
      <c r="K18" s="889"/>
      <c r="L18" s="889"/>
      <c r="M18" s="889"/>
      <c r="N18" s="515" t="s">
        <v>293</v>
      </c>
      <c r="O18" s="515" t="s">
        <v>293</v>
      </c>
      <c r="P18" s="515" t="s">
        <v>293</v>
      </c>
      <c r="Q18" s="890">
        <v>1.5</v>
      </c>
      <c r="R18" s="889"/>
      <c r="S18" s="890">
        <v>35.85</v>
      </c>
      <c r="T18" s="889"/>
      <c r="U18" s="890">
        <v>307.89999999999998</v>
      </c>
      <c r="V18" s="889"/>
      <c r="W18" s="889"/>
      <c r="X18" s="889"/>
      <c r="Y18" s="889"/>
    </row>
    <row r="19" spans="1:28" ht="24" customHeight="1" x14ac:dyDescent="0.2">
      <c r="A19" s="888" t="s">
        <v>293</v>
      </c>
      <c r="B19" s="889"/>
      <c r="C19" s="889"/>
      <c r="D19" s="889"/>
      <c r="E19" s="889"/>
      <c r="F19" s="889"/>
      <c r="G19" s="889"/>
      <c r="H19" s="889"/>
      <c r="I19" s="889"/>
      <c r="J19" s="889"/>
      <c r="K19" s="889"/>
      <c r="L19" s="889"/>
      <c r="M19" s="889"/>
      <c r="N19" s="889"/>
      <c r="O19" s="889"/>
      <c r="P19" s="889"/>
      <c r="Q19" s="889"/>
      <c r="R19" s="889"/>
      <c r="S19" s="889"/>
      <c r="T19" s="889"/>
      <c r="U19" s="889"/>
      <c r="V19" s="889"/>
      <c r="W19" s="889"/>
      <c r="X19" s="889"/>
      <c r="Y19" s="889"/>
    </row>
    <row r="20" spans="1:28" ht="12" customHeight="1" x14ac:dyDescent="0.2">
      <c r="A20" s="888" t="s">
        <v>307</v>
      </c>
      <c r="B20" s="889"/>
      <c r="C20" s="515" t="s">
        <v>293</v>
      </c>
      <c r="D20" s="515" t="s">
        <v>501</v>
      </c>
      <c r="E20" s="888" t="s">
        <v>502</v>
      </c>
      <c r="F20" s="889"/>
      <c r="G20" s="889"/>
      <c r="H20" s="888" t="s">
        <v>293</v>
      </c>
      <c r="I20" s="889"/>
      <c r="J20" s="889"/>
      <c r="K20" s="889"/>
      <c r="L20" s="889"/>
      <c r="M20" s="889"/>
      <c r="N20" s="889"/>
      <c r="O20" s="889"/>
      <c r="P20" s="889"/>
      <c r="Q20" s="889"/>
      <c r="R20" s="889"/>
      <c r="S20" s="889"/>
      <c r="T20" s="889"/>
      <c r="U20" s="890">
        <v>27154.99</v>
      </c>
      <c r="V20" s="889"/>
      <c r="W20" s="889"/>
      <c r="X20" s="889"/>
      <c r="Y20" s="889"/>
    </row>
    <row r="21" spans="1:28" s="524" customFormat="1" ht="24" x14ac:dyDescent="0.2">
      <c r="A21" s="522" t="s">
        <v>2115</v>
      </c>
      <c r="B21" s="523" t="s">
        <v>311</v>
      </c>
      <c r="C21" s="522" t="s">
        <v>2116</v>
      </c>
      <c r="D21" s="897" t="s">
        <v>2124</v>
      </c>
      <c r="E21" s="896"/>
      <c r="F21" s="896"/>
      <c r="G21" s="523" t="s">
        <v>505</v>
      </c>
      <c r="H21" s="898" t="s">
        <v>2118</v>
      </c>
      <c r="I21" s="896"/>
      <c r="J21" s="896"/>
      <c r="K21" s="523" t="s">
        <v>316</v>
      </c>
      <c r="L21" s="898" t="s">
        <v>317</v>
      </c>
      <c r="M21" s="896"/>
      <c r="N21" s="523" t="s">
        <v>318</v>
      </c>
      <c r="O21" s="523" t="s">
        <v>293</v>
      </c>
      <c r="P21" s="523" t="s">
        <v>293</v>
      </c>
      <c r="Q21" s="899">
        <v>-65.91</v>
      </c>
      <c r="R21" s="896"/>
      <c r="S21" s="899">
        <v>-439.43</v>
      </c>
      <c r="T21" s="896"/>
      <c r="U21" s="895">
        <v>26715.56</v>
      </c>
      <c r="V21" s="896"/>
      <c r="W21" s="896"/>
      <c r="X21" s="896"/>
      <c r="Y21" s="896"/>
      <c r="AB21" s="524" t="s">
        <v>2125</v>
      </c>
    </row>
    <row r="22" spans="1:28" x14ac:dyDescent="0.2">
      <c r="A22" s="888" t="s">
        <v>293</v>
      </c>
      <c r="B22" s="889"/>
      <c r="C22" s="889"/>
      <c r="D22" s="889"/>
      <c r="E22" s="888" t="s">
        <v>502</v>
      </c>
      <c r="F22" s="889"/>
      <c r="G22" s="889"/>
      <c r="H22" s="888" t="s">
        <v>293</v>
      </c>
      <c r="I22" s="889"/>
      <c r="J22" s="889"/>
      <c r="K22" s="889"/>
      <c r="L22" s="889"/>
      <c r="M22" s="889"/>
      <c r="N22" s="515" t="s">
        <v>293</v>
      </c>
      <c r="O22" s="515" t="s">
        <v>293</v>
      </c>
      <c r="P22" s="515" t="s">
        <v>293</v>
      </c>
      <c r="Q22" s="890">
        <v>-65.91</v>
      </c>
      <c r="R22" s="889"/>
      <c r="S22" s="890">
        <v>-439.43</v>
      </c>
      <c r="T22" s="889"/>
      <c r="U22" s="890">
        <v>26715.56</v>
      </c>
      <c r="V22" s="889"/>
      <c r="W22" s="889"/>
      <c r="X22" s="889"/>
      <c r="Y22" s="889"/>
    </row>
    <row r="23" spans="1:28" ht="24" customHeight="1" x14ac:dyDescent="0.2">
      <c r="A23" s="888" t="s">
        <v>293</v>
      </c>
      <c r="B23" s="889"/>
      <c r="C23" s="889"/>
      <c r="D23" s="889"/>
      <c r="E23" s="889"/>
      <c r="F23" s="889"/>
      <c r="G23" s="889"/>
      <c r="H23" s="889"/>
      <c r="I23" s="889"/>
      <c r="J23" s="889"/>
      <c r="K23" s="889"/>
      <c r="L23" s="889"/>
      <c r="M23" s="889"/>
      <c r="N23" s="889"/>
      <c r="O23" s="889"/>
      <c r="P23" s="889"/>
      <c r="Q23" s="889"/>
      <c r="R23" s="889"/>
      <c r="S23" s="889"/>
      <c r="T23" s="889"/>
      <c r="U23" s="889"/>
      <c r="V23" s="889"/>
      <c r="W23" s="889"/>
      <c r="X23" s="889"/>
      <c r="Y23" s="889"/>
    </row>
    <row r="24" spans="1:28" ht="12" customHeight="1" x14ac:dyDescent="0.2">
      <c r="A24" s="888" t="s">
        <v>307</v>
      </c>
      <c r="B24" s="889"/>
      <c r="C24" s="515" t="s">
        <v>293</v>
      </c>
      <c r="D24" s="515" t="s">
        <v>386</v>
      </c>
      <c r="E24" s="888" t="s">
        <v>387</v>
      </c>
      <c r="F24" s="889"/>
      <c r="G24" s="889"/>
      <c r="H24" s="888" t="s">
        <v>293</v>
      </c>
      <c r="I24" s="889"/>
      <c r="J24" s="889"/>
      <c r="K24" s="889"/>
      <c r="L24" s="889"/>
      <c r="M24" s="889"/>
      <c r="N24" s="889"/>
      <c r="O24" s="889"/>
      <c r="P24" s="889"/>
      <c r="Q24" s="889"/>
      <c r="R24" s="889"/>
      <c r="S24" s="889"/>
      <c r="T24" s="889"/>
      <c r="U24" s="890">
        <v>30158.91</v>
      </c>
      <c r="V24" s="889"/>
      <c r="W24" s="889"/>
      <c r="X24" s="889"/>
      <c r="Y24" s="889"/>
    </row>
    <row r="25" spans="1:28" s="524" customFormat="1" x14ac:dyDescent="0.2">
      <c r="A25" s="522" t="s">
        <v>2115</v>
      </c>
      <c r="B25" s="523" t="s">
        <v>325</v>
      </c>
      <c r="C25" s="522" t="s">
        <v>2126</v>
      </c>
      <c r="D25" s="897" t="s">
        <v>2127</v>
      </c>
      <c r="E25" s="896"/>
      <c r="F25" s="896"/>
      <c r="G25" s="523" t="s">
        <v>293</v>
      </c>
      <c r="H25" s="898" t="s">
        <v>293</v>
      </c>
      <c r="I25" s="896"/>
      <c r="J25" s="896"/>
      <c r="K25" s="523" t="s">
        <v>316</v>
      </c>
      <c r="L25" s="898" t="s">
        <v>317</v>
      </c>
      <c r="M25" s="896"/>
      <c r="N25" s="523" t="s">
        <v>318</v>
      </c>
      <c r="O25" s="523" t="s">
        <v>293</v>
      </c>
      <c r="P25" s="523" t="s">
        <v>293</v>
      </c>
      <c r="Q25" s="899">
        <v>6.3</v>
      </c>
      <c r="R25" s="896"/>
      <c r="S25" s="899">
        <v>42</v>
      </c>
      <c r="T25" s="896"/>
      <c r="U25" s="895">
        <v>30200.91</v>
      </c>
      <c r="V25" s="896"/>
      <c r="W25" s="896"/>
      <c r="X25" s="896"/>
      <c r="Y25" s="896"/>
      <c r="AB25" s="524" t="s">
        <v>2125</v>
      </c>
    </row>
    <row r="26" spans="1:28" s="519" customFormat="1" x14ac:dyDescent="0.2">
      <c r="A26" s="535" t="s">
        <v>2115</v>
      </c>
      <c r="B26" s="536" t="s">
        <v>325</v>
      </c>
      <c r="C26" s="535" t="s">
        <v>2128</v>
      </c>
      <c r="D26" s="910" t="s">
        <v>2129</v>
      </c>
      <c r="E26" s="901"/>
      <c r="F26" s="901"/>
      <c r="G26" s="536" t="s">
        <v>293</v>
      </c>
      <c r="H26" s="911" t="s">
        <v>293</v>
      </c>
      <c r="I26" s="901"/>
      <c r="J26" s="901"/>
      <c r="K26" s="536" t="s">
        <v>316</v>
      </c>
      <c r="L26" s="911" t="s">
        <v>317</v>
      </c>
      <c r="M26" s="901"/>
      <c r="N26" s="536" t="s">
        <v>318</v>
      </c>
      <c r="O26" s="536" t="s">
        <v>293</v>
      </c>
      <c r="P26" s="536" t="s">
        <v>293</v>
      </c>
      <c r="Q26" s="912">
        <v>1.1200000000000001</v>
      </c>
      <c r="R26" s="901"/>
      <c r="S26" s="912">
        <v>7.48</v>
      </c>
      <c r="T26" s="901"/>
      <c r="U26" s="909">
        <v>30208.39</v>
      </c>
      <c r="V26" s="901"/>
      <c r="W26" s="901"/>
      <c r="X26" s="901"/>
      <c r="Y26" s="901"/>
    </row>
    <row r="27" spans="1:28" x14ac:dyDescent="0.2">
      <c r="A27" s="888" t="s">
        <v>293</v>
      </c>
      <c r="B27" s="889"/>
      <c r="C27" s="889"/>
      <c r="D27" s="889"/>
      <c r="E27" s="888" t="s">
        <v>387</v>
      </c>
      <c r="F27" s="889"/>
      <c r="G27" s="889"/>
      <c r="H27" s="888" t="s">
        <v>293</v>
      </c>
      <c r="I27" s="889"/>
      <c r="J27" s="889"/>
      <c r="K27" s="889"/>
      <c r="L27" s="889"/>
      <c r="M27" s="889"/>
      <c r="N27" s="515" t="s">
        <v>293</v>
      </c>
      <c r="O27" s="515" t="s">
        <v>293</v>
      </c>
      <c r="P27" s="515" t="s">
        <v>293</v>
      </c>
      <c r="Q27" s="890">
        <v>7.42</v>
      </c>
      <c r="R27" s="889"/>
      <c r="S27" s="890">
        <v>49.48</v>
      </c>
      <c r="T27" s="889"/>
      <c r="U27" s="890">
        <v>30208.39</v>
      </c>
      <c r="V27" s="889"/>
      <c r="W27" s="889"/>
      <c r="X27" s="889"/>
      <c r="Y27" s="889"/>
    </row>
    <row r="28" spans="1:28" ht="24" customHeight="1" x14ac:dyDescent="0.2">
      <c r="A28" s="888" t="s">
        <v>293</v>
      </c>
      <c r="B28" s="889"/>
      <c r="C28" s="889"/>
      <c r="D28" s="889"/>
      <c r="E28" s="889"/>
      <c r="F28" s="889"/>
      <c r="G28" s="889"/>
      <c r="H28" s="889"/>
      <c r="I28" s="889"/>
      <c r="J28" s="889"/>
      <c r="K28" s="889"/>
      <c r="L28" s="889"/>
      <c r="M28" s="889"/>
      <c r="N28" s="889"/>
      <c r="O28" s="889"/>
      <c r="P28" s="889"/>
      <c r="Q28" s="889"/>
      <c r="R28" s="889"/>
      <c r="S28" s="889"/>
      <c r="T28" s="889"/>
      <c r="U28" s="889"/>
      <c r="V28" s="889"/>
      <c r="W28" s="889"/>
      <c r="X28" s="889"/>
      <c r="Y28" s="889"/>
    </row>
    <row r="29" spans="1:28" ht="12" customHeight="1" x14ac:dyDescent="0.2">
      <c r="A29" s="888" t="s">
        <v>307</v>
      </c>
      <c r="B29" s="889"/>
      <c r="C29" s="515" t="s">
        <v>293</v>
      </c>
      <c r="D29" s="515" t="s">
        <v>1553</v>
      </c>
      <c r="E29" s="888" t="s">
        <v>2029</v>
      </c>
      <c r="F29" s="889"/>
      <c r="G29" s="889"/>
      <c r="H29" s="888" t="s">
        <v>293</v>
      </c>
      <c r="I29" s="889"/>
      <c r="J29" s="889"/>
      <c r="K29" s="889"/>
      <c r="L29" s="889"/>
      <c r="M29" s="889"/>
      <c r="N29" s="889"/>
      <c r="O29" s="889"/>
      <c r="P29" s="889"/>
      <c r="Q29" s="889"/>
      <c r="R29" s="889"/>
      <c r="S29" s="889"/>
      <c r="T29" s="889"/>
      <c r="U29" s="890">
        <v>18388.71</v>
      </c>
      <c r="V29" s="889"/>
      <c r="W29" s="889"/>
      <c r="X29" s="889"/>
      <c r="Y29" s="889"/>
    </row>
    <row r="30" spans="1:28" x14ac:dyDescent="0.2">
      <c r="A30" s="516" t="s">
        <v>2115</v>
      </c>
      <c r="B30" s="512" t="s">
        <v>325</v>
      </c>
      <c r="C30" s="516" t="s">
        <v>2130</v>
      </c>
      <c r="D30" s="892" t="s">
        <v>2131</v>
      </c>
      <c r="E30" s="889"/>
      <c r="F30" s="889"/>
      <c r="G30" s="512" t="s">
        <v>293</v>
      </c>
      <c r="H30" s="893" t="s">
        <v>293</v>
      </c>
      <c r="I30" s="889"/>
      <c r="J30" s="889"/>
      <c r="K30" s="512" t="s">
        <v>316</v>
      </c>
      <c r="L30" s="893" t="s">
        <v>317</v>
      </c>
      <c r="M30" s="889"/>
      <c r="N30" s="512" t="s">
        <v>318</v>
      </c>
      <c r="O30" s="512" t="s">
        <v>293</v>
      </c>
      <c r="P30" s="512" t="s">
        <v>293</v>
      </c>
      <c r="Q30" s="894">
        <v>32.61</v>
      </c>
      <c r="R30" s="889"/>
      <c r="S30" s="894">
        <v>217.39</v>
      </c>
      <c r="T30" s="889"/>
      <c r="U30" s="891">
        <v>18606.099999999999</v>
      </c>
      <c r="V30" s="889"/>
      <c r="W30" s="889"/>
      <c r="X30" s="889"/>
      <c r="Y30" s="889"/>
    </row>
    <row r="31" spans="1:28" x14ac:dyDescent="0.2">
      <c r="A31" s="516" t="s">
        <v>2115</v>
      </c>
      <c r="B31" s="512" t="s">
        <v>325</v>
      </c>
      <c r="C31" s="516" t="s">
        <v>2132</v>
      </c>
      <c r="D31" s="892" t="s">
        <v>2133</v>
      </c>
      <c r="E31" s="889"/>
      <c r="F31" s="889"/>
      <c r="G31" s="512" t="s">
        <v>293</v>
      </c>
      <c r="H31" s="893" t="s">
        <v>293</v>
      </c>
      <c r="I31" s="889"/>
      <c r="J31" s="889"/>
      <c r="K31" s="512" t="s">
        <v>316</v>
      </c>
      <c r="L31" s="893" t="s">
        <v>317</v>
      </c>
      <c r="M31" s="889"/>
      <c r="N31" s="512" t="s">
        <v>318</v>
      </c>
      <c r="O31" s="512" t="s">
        <v>293</v>
      </c>
      <c r="P31" s="512" t="s">
        <v>293</v>
      </c>
      <c r="Q31" s="894">
        <v>-32.61</v>
      </c>
      <c r="R31" s="889"/>
      <c r="S31" s="894">
        <v>-217.39</v>
      </c>
      <c r="T31" s="889"/>
      <c r="U31" s="891">
        <v>18388.71</v>
      </c>
      <c r="V31" s="889"/>
      <c r="W31" s="889"/>
      <c r="X31" s="889"/>
      <c r="Y31" s="889"/>
    </row>
    <row r="32" spans="1:28" x14ac:dyDescent="0.2">
      <c r="A32" s="888" t="s">
        <v>293</v>
      </c>
      <c r="B32" s="889"/>
      <c r="C32" s="889"/>
      <c r="D32" s="889"/>
      <c r="E32" s="888" t="s">
        <v>2029</v>
      </c>
      <c r="F32" s="889"/>
      <c r="G32" s="889"/>
      <c r="H32" s="888" t="s">
        <v>293</v>
      </c>
      <c r="I32" s="889"/>
      <c r="J32" s="889"/>
      <c r="K32" s="889"/>
      <c r="L32" s="889"/>
      <c r="M32" s="889"/>
      <c r="N32" s="515" t="s">
        <v>293</v>
      </c>
      <c r="O32" s="515" t="s">
        <v>293</v>
      </c>
      <c r="P32" s="515" t="s">
        <v>293</v>
      </c>
      <c r="Q32" s="890">
        <v>0</v>
      </c>
      <c r="R32" s="889"/>
      <c r="S32" s="890">
        <v>0</v>
      </c>
      <c r="T32" s="889"/>
      <c r="U32" s="890">
        <v>18388.71</v>
      </c>
      <c r="V32" s="889"/>
      <c r="W32" s="889"/>
      <c r="X32" s="889"/>
      <c r="Y32" s="889"/>
    </row>
    <row r="33" spans="1:25" ht="24" customHeight="1" x14ac:dyDescent="0.2">
      <c r="A33" s="888" t="s">
        <v>293</v>
      </c>
      <c r="B33" s="889"/>
      <c r="C33" s="889"/>
      <c r="D33" s="889"/>
      <c r="E33" s="889"/>
      <c r="F33" s="889"/>
      <c r="G33" s="889"/>
      <c r="H33" s="889"/>
      <c r="I33" s="889"/>
      <c r="J33" s="889"/>
      <c r="K33" s="889"/>
      <c r="L33" s="889"/>
      <c r="M33" s="889"/>
      <c r="N33" s="889"/>
      <c r="O33" s="889"/>
      <c r="P33" s="889"/>
      <c r="Q33" s="889"/>
      <c r="R33" s="889"/>
      <c r="S33" s="889"/>
      <c r="T33" s="889"/>
      <c r="U33" s="889"/>
      <c r="V33" s="889"/>
      <c r="W33" s="889"/>
      <c r="X33" s="889"/>
      <c r="Y33" s="889"/>
    </row>
  </sheetData>
  <mergeCells count="103">
    <mergeCell ref="A33:Y33"/>
    <mergeCell ref="A32:D32"/>
    <mergeCell ref="E32:G32"/>
    <mergeCell ref="H32:M32"/>
    <mergeCell ref="Q32:R32"/>
    <mergeCell ref="S32:T32"/>
    <mergeCell ref="U32:Y32"/>
    <mergeCell ref="U30:Y30"/>
    <mergeCell ref="D31:F31"/>
    <mergeCell ref="H31:J31"/>
    <mergeCell ref="L31:M31"/>
    <mergeCell ref="Q31:R31"/>
    <mergeCell ref="S31:T31"/>
    <mergeCell ref="U31:Y31"/>
    <mergeCell ref="A28:Y28"/>
    <mergeCell ref="A29:B29"/>
    <mergeCell ref="E29:G29"/>
    <mergeCell ref="H29:T29"/>
    <mergeCell ref="U29:Y29"/>
    <mergeCell ref="D30:F30"/>
    <mergeCell ref="H30:J30"/>
    <mergeCell ref="L30:M30"/>
    <mergeCell ref="Q30:R30"/>
    <mergeCell ref="S30:T30"/>
    <mergeCell ref="A27:D27"/>
    <mergeCell ref="E27:G27"/>
    <mergeCell ref="H27:M27"/>
    <mergeCell ref="Q27:R27"/>
    <mergeCell ref="S27:T27"/>
    <mergeCell ref="U27:Y27"/>
    <mergeCell ref="U25:Y25"/>
    <mergeCell ref="D26:F26"/>
    <mergeCell ref="H26:J26"/>
    <mergeCell ref="L26:M26"/>
    <mergeCell ref="Q26:R26"/>
    <mergeCell ref="S26:T26"/>
    <mergeCell ref="U26:Y26"/>
    <mergeCell ref="A23:Y23"/>
    <mergeCell ref="A24:B24"/>
    <mergeCell ref="E24:G24"/>
    <mergeCell ref="H24:T24"/>
    <mergeCell ref="U24:Y24"/>
    <mergeCell ref="D25:F25"/>
    <mergeCell ref="H25:J25"/>
    <mergeCell ref="L25:M25"/>
    <mergeCell ref="Q25:R25"/>
    <mergeCell ref="S25:T25"/>
    <mergeCell ref="A22:D22"/>
    <mergeCell ref="E22:G22"/>
    <mergeCell ref="H22:M22"/>
    <mergeCell ref="Q22:R22"/>
    <mergeCell ref="S22:T22"/>
    <mergeCell ref="U22:Y22"/>
    <mergeCell ref="A19:Y19"/>
    <mergeCell ref="A20:B20"/>
    <mergeCell ref="E20:G20"/>
    <mergeCell ref="H20:T20"/>
    <mergeCell ref="U20:Y20"/>
    <mergeCell ref="D21:F21"/>
    <mergeCell ref="H21:J21"/>
    <mergeCell ref="L21:M21"/>
    <mergeCell ref="Q21:R21"/>
    <mergeCell ref="S21:T21"/>
    <mergeCell ref="U18:Y18"/>
    <mergeCell ref="U16:Y16"/>
    <mergeCell ref="D17:F17"/>
    <mergeCell ref="H17:J17"/>
    <mergeCell ref="L17:M17"/>
    <mergeCell ref="Q17:R17"/>
    <mergeCell ref="S17:T17"/>
    <mergeCell ref="U17:Y17"/>
    <mergeCell ref="U21:Y21"/>
    <mergeCell ref="D16:F16"/>
    <mergeCell ref="H16:J16"/>
    <mergeCell ref="L16:M16"/>
    <mergeCell ref="Q16:R16"/>
    <mergeCell ref="S16:T16"/>
    <mergeCell ref="A18:D18"/>
    <mergeCell ref="E18:G18"/>
    <mergeCell ref="H18:M18"/>
    <mergeCell ref="Q18:R18"/>
    <mergeCell ref="S18:T18"/>
    <mergeCell ref="H12:Y12"/>
    <mergeCell ref="D13:F13"/>
    <mergeCell ref="H13:J13"/>
    <mergeCell ref="L13:M13"/>
    <mergeCell ref="Q13:R13"/>
    <mergeCell ref="S13:T13"/>
    <mergeCell ref="U13:Y13"/>
    <mergeCell ref="A14:Y14"/>
    <mergeCell ref="A15:B15"/>
    <mergeCell ref="E15:G15"/>
    <mergeCell ref="H15:T15"/>
    <mergeCell ref="U15:Y15"/>
    <mergeCell ref="A1:E1"/>
    <mergeCell ref="T1:W1"/>
    <mergeCell ref="A2:E2"/>
    <mergeCell ref="A4:E4"/>
    <mergeCell ref="R4:W4"/>
    <mergeCell ref="A6:I6"/>
    <mergeCell ref="A8:L8"/>
    <mergeCell ref="A9:H9"/>
    <mergeCell ref="I9:L9"/>
  </mergeCells>
  <pageMargins left="0.196850393700787" right="0" top="0.78740157480314998" bottom="0.78740157480314998" header="0.78740157480314998" footer="0.78740157480314998"/>
  <pageSetup paperSize="9"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AF77E-2BB3-41DF-AF04-E8C2BAE3AB9A}">
  <sheetPr>
    <tabColor theme="7"/>
  </sheetPr>
  <dimension ref="A1:N40"/>
  <sheetViews>
    <sheetView topLeftCell="A16" workbookViewId="0">
      <selection activeCell="D36" sqref="D36"/>
    </sheetView>
  </sheetViews>
  <sheetFormatPr defaultRowHeight="12.75" x14ac:dyDescent="0.2"/>
  <cols>
    <col min="1" max="1" width="13.85546875" bestFit="1" customWidth="1"/>
    <col min="2" max="2" width="49.5703125" bestFit="1" customWidth="1"/>
    <col min="3" max="3" width="14.42578125" bestFit="1" customWidth="1"/>
    <col min="4" max="4" width="11" bestFit="1" customWidth="1"/>
    <col min="6" max="6" width="7.42578125" bestFit="1" customWidth="1"/>
    <col min="8" max="8" width="11.5703125" bestFit="1" customWidth="1"/>
    <col min="9" max="9" width="14.85546875" bestFit="1" customWidth="1"/>
    <col min="10" max="10" width="16.42578125" bestFit="1" customWidth="1"/>
    <col min="11" max="11" width="46.85546875" customWidth="1"/>
  </cols>
  <sheetData>
    <row r="1" spans="1:14" s="22" customFormat="1" x14ac:dyDescent="0.2">
      <c r="A1" s="22" t="s">
        <v>1021</v>
      </c>
      <c r="B1" s="22" t="s">
        <v>1022</v>
      </c>
      <c r="C1" s="22" t="s">
        <v>1023</v>
      </c>
      <c r="D1" s="22" t="s">
        <v>1024</v>
      </c>
      <c r="E1" s="22" t="s">
        <v>299</v>
      </c>
      <c r="F1" s="22" t="s">
        <v>1025</v>
      </c>
      <c r="G1" s="22" t="s">
        <v>1026</v>
      </c>
      <c r="H1" s="22" t="s">
        <v>1027</v>
      </c>
      <c r="I1" s="22" t="s">
        <v>1028</v>
      </c>
      <c r="J1" s="22" t="s">
        <v>1029</v>
      </c>
      <c r="K1" s="22" t="s">
        <v>1030</v>
      </c>
      <c r="L1" s="22" t="s">
        <v>1031</v>
      </c>
      <c r="M1" s="22" t="s">
        <v>1032</v>
      </c>
      <c r="N1" s="22" t="s">
        <v>1033</v>
      </c>
    </row>
    <row r="2" spans="1:14" x14ac:dyDescent="0.2">
      <c r="A2">
        <v>3605</v>
      </c>
      <c r="B2" t="s">
        <v>1037</v>
      </c>
      <c r="C2" t="s">
        <v>1038</v>
      </c>
      <c r="D2" t="s">
        <v>1053</v>
      </c>
      <c r="E2">
        <v>100</v>
      </c>
      <c r="F2" t="s">
        <v>1040</v>
      </c>
      <c r="G2" t="s">
        <v>2134</v>
      </c>
      <c r="H2" t="s">
        <v>1042</v>
      </c>
      <c r="I2" s="199">
        <v>44389</v>
      </c>
      <c r="J2" t="s">
        <v>1043</v>
      </c>
      <c r="K2" t="s">
        <v>2135</v>
      </c>
      <c r="L2">
        <v>0.5</v>
      </c>
      <c r="M2">
        <v>0.08</v>
      </c>
      <c r="N2">
        <v>0.57999999999999996</v>
      </c>
    </row>
    <row r="3" spans="1:14" x14ac:dyDescent="0.2">
      <c r="A3">
        <v>3605</v>
      </c>
      <c r="B3" t="s">
        <v>1037</v>
      </c>
      <c r="C3" t="s">
        <v>1038</v>
      </c>
      <c r="D3" t="s">
        <v>1053</v>
      </c>
      <c r="E3">
        <v>100</v>
      </c>
      <c r="F3" t="s">
        <v>1040</v>
      </c>
      <c r="G3" t="s">
        <v>2134</v>
      </c>
      <c r="H3" t="s">
        <v>1042</v>
      </c>
      <c r="I3" s="199">
        <v>44389</v>
      </c>
      <c r="J3" t="s">
        <v>1043</v>
      </c>
      <c r="K3" t="s">
        <v>2135</v>
      </c>
      <c r="L3">
        <v>0.5</v>
      </c>
      <c r="M3">
        <v>0.08</v>
      </c>
      <c r="N3">
        <v>0.57999999999999996</v>
      </c>
    </row>
    <row r="4" spans="1:14" x14ac:dyDescent="0.2">
      <c r="A4">
        <v>3605</v>
      </c>
      <c r="B4" t="s">
        <v>1037</v>
      </c>
      <c r="C4" t="s">
        <v>1038</v>
      </c>
      <c r="D4" t="s">
        <v>1039</v>
      </c>
      <c r="E4">
        <v>100</v>
      </c>
      <c r="F4" t="s">
        <v>1040</v>
      </c>
      <c r="G4" t="s">
        <v>2134</v>
      </c>
      <c r="H4" t="s">
        <v>1042</v>
      </c>
      <c r="I4" s="199">
        <v>44389</v>
      </c>
      <c r="J4" t="s">
        <v>1043</v>
      </c>
      <c r="K4" t="s">
        <v>2135</v>
      </c>
      <c r="L4">
        <v>5.85</v>
      </c>
      <c r="M4">
        <v>0.88</v>
      </c>
      <c r="N4">
        <v>6.73</v>
      </c>
    </row>
    <row r="5" spans="1:14" x14ac:dyDescent="0.2">
      <c r="A5">
        <v>3605</v>
      </c>
      <c r="B5" t="s">
        <v>1037</v>
      </c>
      <c r="C5" t="s">
        <v>1038</v>
      </c>
      <c r="D5" t="s">
        <v>1046</v>
      </c>
      <c r="E5">
        <v>100</v>
      </c>
      <c r="F5" t="s">
        <v>1040</v>
      </c>
      <c r="G5" t="s">
        <v>2134</v>
      </c>
      <c r="H5" t="s">
        <v>1042</v>
      </c>
      <c r="I5" s="199">
        <v>44389</v>
      </c>
      <c r="J5" t="s">
        <v>1043</v>
      </c>
      <c r="K5" t="s">
        <v>2135</v>
      </c>
      <c r="L5">
        <v>10</v>
      </c>
      <c r="M5">
        <v>1.5</v>
      </c>
      <c r="N5">
        <v>11.5</v>
      </c>
    </row>
    <row r="6" spans="1:14" x14ac:dyDescent="0.2">
      <c r="A6">
        <v>3605</v>
      </c>
      <c r="B6" t="s">
        <v>1037</v>
      </c>
      <c r="C6" t="s">
        <v>1038</v>
      </c>
      <c r="D6" t="s">
        <v>1046</v>
      </c>
      <c r="E6">
        <v>100</v>
      </c>
      <c r="F6" t="s">
        <v>2136</v>
      </c>
      <c r="G6" t="s">
        <v>2134</v>
      </c>
      <c r="H6" t="s">
        <v>1042</v>
      </c>
      <c r="I6" s="199">
        <v>44433</v>
      </c>
      <c r="J6" t="s">
        <v>1043</v>
      </c>
      <c r="K6" t="s">
        <v>2137</v>
      </c>
      <c r="L6">
        <v>10</v>
      </c>
      <c r="M6">
        <v>1.5</v>
      </c>
      <c r="N6">
        <v>11.5</v>
      </c>
    </row>
    <row r="7" spans="1:14" x14ac:dyDescent="0.2">
      <c r="A7">
        <v>3605</v>
      </c>
      <c r="B7" t="s">
        <v>1037</v>
      </c>
      <c r="C7" t="s">
        <v>1038</v>
      </c>
      <c r="D7" t="s">
        <v>1046</v>
      </c>
      <c r="E7">
        <v>100</v>
      </c>
      <c r="F7" t="s">
        <v>2136</v>
      </c>
      <c r="G7" t="s">
        <v>2134</v>
      </c>
      <c r="H7" t="s">
        <v>1042</v>
      </c>
      <c r="I7" s="199">
        <v>44433</v>
      </c>
      <c r="J7" t="s">
        <v>1043</v>
      </c>
      <c r="K7" t="s">
        <v>2137</v>
      </c>
      <c r="L7">
        <v>10</v>
      </c>
      <c r="M7">
        <v>1.5</v>
      </c>
      <c r="N7">
        <v>11.5</v>
      </c>
    </row>
    <row r="8" spans="1:14" x14ac:dyDescent="0.2">
      <c r="A8">
        <v>3605</v>
      </c>
      <c r="B8" t="s">
        <v>1037</v>
      </c>
      <c r="C8" t="s">
        <v>1038</v>
      </c>
      <c r="D8" t="s">
        <v>1770</v>
      </c>
      <c r="E8">
        <v>100</v>
      </c>
      <c r="F8" t="s">
        <v>2136</v>
      </c>
      <c r="G8" t="s">
        <v>2134</v>
      </c>
      <c r="H8" t="s">
        <v>1042</v>
      </c>
      <c r="I8" s="199">
        <v>44433</v>
      </c>
      <c r="J8" t="s">
        <v>1043</v>
      </c>
      <c r="K8" t="s">
        <v>2137</v>
      </c>
      <c r="L8">
        <v>10</v>
      </c>
      <c r="M8">
        <v>1.5</v>
      </c>
      <c r="N8">
        <v>11.5</v>
      </c>
    </row>
    <row r="9" spans="1:14" x14ac:dyDescent="0.2">
      <c r="A9">
        <v>3605</v>
      </c>
      <c r="B9" t="s">
        <v>1037</v>
      </c>
      <c r="C9" t="s">
        <v>1038</v>
      </c>
      <c r="D9" t="s">
        <v>1039</v>
      </c>
      <c r="E9">
        <v>100</v>
      </c>
      <c r="F9" t="s">
        <v>2136</v>
      </c>
      <c r="G9" t="s">
        <v>2134</v>
      </c>
      <c r="H9" t="s">
        <v>1042</v>
      </c>
      <c r="I9" s="199">
        <v>44434</v>
      </c>
      <c r="J9" t="s">
        <v>1043</v>
      </c>
      <c r="K9" t="s">
        <v>2137</v>
      </c>
      <c r="L9">
        <v>5.85</v>
      </c>
      <c r="M9">
        <v>0.88</v>
      </c>
      <c r="N9">
        <v>6.73</v>
      </c>
    </row>
    <row r="10" spans="1:14" x14ac:dyDescent="0.2">
      <c r="A10">
        <v>3605</v>
      </c>
      <c r="B10" t="s">
        <v>1037</v>
      </c>
      <c r="C10" t="s">
        <v>1038</v>
      </c>
      <c r="D10" t="s">
        <v>1459</v>
      </c>
      <c r="E10">
        <v>100</v>
      </c>
      <c r="F10" t="s">
        <v>1040</v>
      </c>
      <c r="G10" t="s">
        <v>2134</v>
      </c>
      <c r="H10" t="s">
        <v>1042</v>
      </c>
      <c r="I10" s="199">
        <v>44454</v>
      </c>
      <c r="J10" t="s">
        <v>1043</v>
      </c>
      <c r="K10" t="s">
        <v>2138</v>
      </c>
      <c r="L10">
        <v>16.850000000000001</v>
      </c>
      <c r="M10">
        <v>2.5299999999999998</v>
      </c>
      <c r="N10">
        <v>19.38</v>
      </c>
    </row>
    <row r="11" spans="1:14" x14ac:dyDescent="0.2">
      <c r="A11">
        <v>3605</v>
      </c>
      <c r="B11" t="s">
        <v>1037</v>
      </c>
      <c r="C11" t="s">
        <v>1038</v>
      </c>
      <c r="D11" t="s">
        <v>1770</v>
      </c>
      <c r="E11">
        <v>100</v>
      </c>
      <c r="F11" t="s">
        <v>1040</v>
      </c>
      <c r="G11" t="s">
        <v>2134</v>
      </c>
      <c r="H11" t="s">
        <v>1042</v>
      </c>
      <c r="I11" s="199">
        <v>44454</v>
      </c>
      <c r="J11" t="s">
        <v>1043</v>
      </c>
      <c r="K11" t="s">
        <v>2138</v>
      </c>
      <c r="L11">
        <v>10</v>
      </c>
      <c r="M11">
        <v>1.5</v>
      </c>
      <c r="N11">
        <v>11.5</v>
      </c>
    </row>
    <row r="12" spans="1:14" x14ac:dyDescent="0.2">
      <c r="A12">
        <v>3605</v>
      </c>
      <c r="B12" t="s">
        <v>1037</v>
      </c>
      <c r="C12" t="s">
        <v>1038</v>
      </c>
      <c r="D12" t="s">
        <v>1039</v>
      </c>
      <c r="E12">
        <v>100</v>
      </c>
      <c r="F12" t="s">
        <v>2136</v>
      </c>
      <c r="G12" t="s">
        <v>1041</v>
      </c>
      <c r="H12" t="s">
        <v>1042</v>
      </c>
      <c r="I12" s="199">
        <v>44509</v>
      </c>
      <c r="J12" t="s">
        <v>1043</v>
      </c>
      <c r="K12" t="s">
        <v>2139</v>
      </c>
      <c r="L12">
        <v>5.85</v>
      </c>
      <c r="M12">
        <v>0.88</v>
      </c>
      <c r="N12">
        <v>6.73</v>
      </c>
    </row>
    <row r="13" spans="1:14" x14ac:dyDescent="0.2">
      <c r="A13">
        <v>3605</v>
      </c>
      <c r="B13" t="s">
        <v>1037</v>
      </c>
      <c r="C13" t="s">
        <v>1038</v>
      </c>
      <c r="D13" t="s">
        <v>1046</v>
      </c>
      <c r="E13">
        <v>100</v>
      </c>
      <c r="F13" t="s">
        <v>2136</v>
      </c>
      <c r="G13" t="s">
        <v>1041</v>
      </c>
      <c r="H13" t="s">
        <v>1042</v>
      </c>
      <c r="I13" s="199">
        <v>44509</v>
      </c>
      <c r="J13" t="s">
        <v>1043</v>
      </c>
      <c r="K13" t="s">
        <v>2139</v>
      </c>
      <c r="L13">
        <v>10</v>
      </c>
      <c r="M13">
        <v>1.5</v>
      </c>
      <c r="N13">
        <v>11.5</v>
      </c>
    </row>
    <row r="14" spans="1:14" x14ac:dyDescent="0.2">
      <c r="A14">
        <v>3610</v>
      </c>
      <c r="B14" t="s">
        <v>1037</v>
      </c>
      <c r="C14" t="s">
        <v>1045</v>
      </c>
      <c r="E14">
        <v>100</v>
      </c>
      <c r="F14" t="s">
        <v>1040</v>
      </c>
      <c r="G14" t="s">
        <v>2134</v>
      </c>
      <c r="H14" t="s">
        <v>1042</v>
      </c>
      <c r="I14" s="199">
        <v>44389</v>
      </c>
      <c r="J14" t="s">
        <v>1043</v>
      </c>
      <c r="K14" t="s">
        <v>2135</v>
      </c>
      <c r="L14">
        <v>311.23</v>
      </c>
      <c r="M14">
        <v>46.68</v>
      </c>
      <c r="N14">
        <v>357.91</v>
      </c>
    </row>
    <row r="15" spans="1:14" x14ac:dyDescent="0.2">
      <c r="A15">
        <v>3610</v>
      </c>
      <c r="B15" t="s">
        <v>1037</v>
      </c>
      <c r="C15" t="s">
        <v>1045</v>
      </c>
      <c r="E15">
        <v>100</v>
      </c>
      <c r="F15" t="s">
        <v>2136</v>
      </c>
      <c r="G15" t="s">
        <v>2134</v>
      </c>
      <c r="H15" t="s">
        <v>1042</v>
      </c>
      <c r="I15" s="199">
        <v>44433</v>
      </c>
      <c r="J15" t="s">
        <v>1043</v>
      </c>
      <c r="K15" t="s">
        <v>2137</v>
      </c>
      <c r="L15">
        <v>59.04</v>
      </c>
      <c r="M15">
        <v>8.86</v>
      </c>
      <c r="N15">
        <v>67.900000000000006</v>
      </c>
    </row>
    <row r="16" spans="1:14" x14ac:dyDescent="0.2">
      <c r="A16">
        <v>3610</v>
      </c>
      <c r="B16" t="s">
        <v>1037</v>
      </c>
      <c r="C16" t="s">
        <v>1045</v>
      </c>
      <c r="E16">
        <v>100</v>
      </c>
      <c r="F16" t="s">
        <v>2136</v>
      </c>
      <c r="G16" t="s">
        <v>2134</v>
      </c>
      <c r="H16" t="s">
        <v>1042</v>
      </c>
      <c r="I16" s="199">
        <v>44433</v>
      </c>
      <c r="J16" t="s">
        <v>1043</v>
      </c>
      <c r="K16" t="s">
        <v>2137</v>
      </c>
      <c r="L16">
        <v>-413.28</v>
      </c>
      <c r="M16">
        <v>-61.99</v>
      </c>
      <c r="N16">
        <v>-475.27</v>
      </c>
    </row>
    <row r="17" spans="1:14" x14ac:dyDescent="0.2">
      <c r="A17">
        <v>3610</v>
      </c>
      <c r="B17" t="s">
        <v>1037</v>
      </c>
      <c r="C17" t="s">
        <v>1045</v>
      </c>
      <c r="E17">
        <v>100</v>
      </c>
      <c r="F17" t="s">
        <v>2136</v>
      </c>
      <c r="G17" t="s">
        <v>2134</v>
      </c>
      <c r="H17" t="s">
        <v>1042</v>
      </c>
      <c r="I17" s="199">
        <v>44434</v>
      </c>
      <c r="J17" t="s">
        <v>1043</v>
      </c>
      <c r="K17" t="s">
        <v>2137</v>
      </c>
      <c r="L17">
        <v>354.24</v>
      </c>
      <c r="M17">
        <v>53.14</v>
      </c>
      <c r="N17">
        <v>407.38</v>
      </c>
    </row>
    <row r="18" spans="1:14" x14ac:dyDescent="0.2">
      <c r="A18">
        <v>3610</v>
      </c>
      <c r="B18" t="s">
        <v>1037</v>
      </c>
      <c r="C18" t="s">
        <v>1045</v>
      </c>
      <c r="E18">
        <v>100</v>
      </c>
      <c r="F18" t="s">
        <v>1040</v>
      </c>
      <c r="G18" t="s">
        <v>2134</v>
      </c>
      <c r="H18" t="s">
        <v>1042</v>
      </c>
      <c r="I18" s="199">
        <v>44454</v>
      </c>
      <c r="J18" t="s">
        <v>1043</v>
      </c>
      <c r="K18" t="s">
        <v>2138</v>
      </c>
      <c r="L18">
        <v>439.43</v>
      </c>
      <c r="M18">
        <v>65.91</v>
      </c>
      <c r="N18">
        <v>505.34</v>
      </c>
    </row>
    <row r="19" spans="1:14" x14ac:dyDescent="0.2">
      <c r="A19">
        <v>3610</v>
      </c>
      <c r="B19" t="s">
        <v>1037</v>
      </c>
      <c r="C19" t="s">
        <v>1045</v>
      </c>
      <c r="E19">
        <v>100</v>
      </c>
      <c r="F19" t="s">
        <v>2136</v>
      </c>
      <c r="G19" t="s">
        <v>1041</v>
      </c>
      <c r="H19" t="s">
        <v>1042</v>
      </c>
      <c r="I19" s="199">
        <v>44509</v>
      </c>
      <c r="J19" t="s">
        <v>1043</v>
      </c>
      <c r="K19" t="s">
        <v>2139</v>
      </c>
      <c r="L19">
        <v>304.19</v>
      </c>
      <c r="M19">
        <v>45.63</v>
      </c>
      <c r="N19">
        <v>349.82</v>
      </c>
    </row>
    <row r="20" spans="1:14" x14ac:dyDescent="0.2">
      <c r="A20">
        <v>3625</v>
      </c>
      <c r="B20" t="s">
        <v>1037</v>
      </c>
      <c r="C20" t="s">
        <v>1038</v>
      </c>
      <c r="D20" t="s">
        <v>1056</v>
      </c>
      <c r="E20">
        <v>100</v>
      </c>
      <c r="F20" t="s">
        <v>1040</v>
      </c>
      <c r="G20" t="s">
        <v>2134</v>
      </c>
      <c r="H20" t="s">
        <v>1042</v>
      </c>
      <c r="I20" s="199">
        <v>44389</v>
      </c>
      <c r="J20" t="s">
        <v>1043</v>
      </c>
      <c r="K20" t="s">
        <v>2135</v>
      </c>
      <c r="L20">
        <v>7.5</v>
      </c>
      <c r="M20">
        <v>1.1299999999999999</v>
      </c>
      <c r="N20">
        <v>8.6300000000000008</v>
      </c>
    </row>
    <row r="21" spans="1:14" x14ac:dyDescent="0.2">
      <c r="A21">
        <v>3635</v>
      </c>
      <c r="B21" t="s">
        <v>1037</v>
      </c>
      <c r="C21" t="s">
        <v>1057</v>
      </c>
      <c r="E21">
        <v>100</v>
      </c>
      <c r="F21" t="s">
        <v>1040</v>
      </c>
      <c r="G21" t="s">
        <v>2134</v>
      </c>
      <c r="H21" t="s">
        <v>1042</v>
      </c>
      <c r="I21" s="199">
        <v>44389</v>
      </c>
      <c r="J21" t="s">
        <v>1043</v>
      </c>
      <c r="K21" t="s">
        <v>2135</v>
      </c>
      <c r="L21">
        <v>12</v>
      </c>
      <c r="M21">
        <v>1.8</v>
      </c>
      <c r="N21">
        <v>13.8</v>
      </c>
    </row>
    <row r="22" spans="1:14" x14ac:dyDescent="0.2">
      <c r="A22">
        <v>3635</v>
      </c>
      <c r="B22" t="s">
        <v>1037</v>
      </c>
      <c r="C22" t="s">
        <v>1057</v>
      </c>
      <c r="E22">
        <v>100</v>
      </c>
      <c r="F22" t="s">
        <v>1040</v>
      </c>
      <c r="G22" t="s">
        <v>2134</v>
      </c>
      <c r="H22" t="s">
        <v>1042</v>
      </c>
      <c r="I22" s="199">
        <v>44389</v>
      </c>
      <c r="J22" t="s">
        <v>1043</v>
      </c>
      <c r="K22" t="s">
        <v>2135</v>
      </c>
      <c r="L22">
        <v>0.74</v>
      </c>
      <c r="M22">
        <v>0.11</v>
      </c>
      <c r="N22">
        <v>0.85</v>
      </c>
    </row>
    <row r="23" spans="1:14" x14ac:dyDescent="0.2">
      <c r="A23">
        <v>3635</v>
      </c>
      <c r="B23" t="s">
        <v>1037</v>
      </c>
      <c r="C23" t="s">
        <v>1057</v>
      </c>
      <c r="E23">
        <v>100</v>
      </c>
      <c r="F23" t="s">
        <v>1040</v>
      </c>
      <c r="G23" t="s">
        <v>2134</v>
      </c>
      <c r="H23" t="s">
        <v>1042</v>
      </c>
      <c r="I23" s="199">
        <v>44389</v>
      </c>
      <c r="J23" t="s">
        <v>1043</v>
      </c>
      <c r="K23" t="s">
        <v>2135</v>
      </c>
      <c r="L23">
        <v>49</v>
      </c>
      <c r="M23">
        <v>7.35</v>
      </c>
      <c r="N23">
        <v>56.35</v>
      </c>
    </row>
    <row r="28" spans="1:14" x14ac:dyDescent="0.2">
      <c r="A28" s="208" t="s">
        <v>1058</v>
      </c>
      <c r="B28" s="208" t="s">
        <v>1030</v>
      </c>
      <c r="C28" s="208" t="s">
        <v>1023</v>
      </c>
      <c r="D28" t="s">
        <v>1059</v>
      </c>
    </row>
    <row r="29" spans="1:14" x14ac:dyDescent="0.2">
      <c r="A29" s="205">
        <v>44389</v>
      </c>
      <c r="B29" s="206" t="s">
        <v>2135</v>
      </c>
      <c r="C29" s="206" t="s">
        <v>1057</v>
      </c>
      <c r="D29">
        <v>61.74</v>
      </c>
    </row>
    <row r="30" spans="1:14" x14ac:dyDescent="0.2">
      <c r="C30" s="206" t="s">
        <v>1038</v>
      </c>
      <c r="D30">
        <v>24.35</v>
      </c>
    </row>
    <row r="31" spans="1:14" x14ac:dyDescent="0.2">
      <c r="A31" s="470"/>
      <c r="B31" s="470"/>
      <c r="C31" s="471" t="s">
        <v>1045</v>
      </c>
      <c r="D31" s="470">
        <v>311.23</v>
      </c>
      <c r="E31" t="s">
        <v>134</v>
      </c>
    </row>
    <row r="32" spans="1:14" x14ac:dyDescent="0.2">
      <c r="A32" s="472">
        <v>44433</v>
      </c>
      <c r="B32" s="473" t="s">
        <v>2137</v>
      </c>
      <c r="C32" s="473" t="s">
        <v>1038</v>
      </c>
      <c r="D32" s="474">
        <v>30</v>
      </c>
    </row>
    <row r="33" spans="1:6" x14ac:dyDescent="0.2">
      <c r="C33" s="206" t="s">
        <v>1045</v>
      </c>
      <c r="D33">
        <v>-354.23999999999995</v>
      </c>
    </row>
    <row r="34" spans="1:6" x14ac:dyDescent="0.2">
      <c r="A34" s="205">
        <v>44434</v>
      </c>
      <c r="B34" s="206" t="s">
        <v>2137</v>
      </c>
      <c r="C34" s="206" t="s">
        <v>1038</v>
      </c>
      <c r="D34">
        <v>5.85</v>
      </c>
    </row>
    <row r="35" spans="1:6" x14ac:dyDescent="0.2">
      <c r="A35" s="470"/>
      <c r="B35" s="470"/>
      <c r="C35" s="471" t="s">
        <v>1045</v>
      </c>
      <c r="D35" s="470">
        <v>354.24</v>
      </c>
      <c r="E35" s="533">
        <f>SUM(D32:D35)</f>
        <v>35.85000000000008</v>
      </c>
      <c r="F35" t="s">
        <v>2140</v>
      </c>
    </row>
    <row r="36" spans="1:6" x14ac:dyDescent="0.2">
      <c r="A36" s="500">
        <v>44454</v>
      </c>
      <c r="B36" s="501" t="s">
        <v>2138</v>
      </c>
      <c r="C36" s="501" t="s">
        <v>1038</v>
      </c>
      <c r="D36" s="502">
        <v>26.85</v>
      </c>
    </row>
    <row r="37" spans="1:6" x14ac:dyDescent="0.2">
      <c r="A37" s="503"/>
      <c r="B37" s="503"/>
      <c r="C37" s="504" t="s">
        <v>1045</v>
      </c>
      <c r="D37" s="503">
        <v>439.43</v>
      </c>
      <c r="E37" t="s">
        <v>2141</v>
      </c>
    </row>
    <row r="38" spans="1:6" x14ac:dyDescent="0.2">
      <c r="A38" s="205">
        <v>44509</v>
      </c>
      <c r="B38" s="206" t="s">
        <v>2139</v>
      </c>
      <c r="C38" s="206" t="s">
        <v>1038</v>
      </c>
      <c r="D38">
        <v>15.85</v>
      </c>
    </row>
    <row r="39" spans="1:6" x14ac:dyDescent="0.2">
      <c r="C39" s="206" t="s">
        <v>1045</v>
      </c>
      <c r="D39">
        <v>304.19</v>
      </c>
      <c r="E39" t="s">
        <v>2142</v>
      </c>
    </row>
    <row r="40" spans="1:6" x14ac:dyDescent="0.2">
      <c r="A40" s="205" t="s">
        <v>1062</v>
      </c>
      <c r="D40">
        <v>1219.49</v>
      </c>
    </row>
  </sheetData>
  <sortState xmlns:xlrd2="http://schemas.microsoft.com/office/spreadsheetml/2017/richdata2" ref="A2:N23">
    <sortCondition ref="A2:A23"/>
    <sortCondition ref="I2:I23"/>
  </sortState>
  <pageMargins left="0.7" right="0.7" top="0.75" bottom="0.75" header="0.3" footer="0.3"/>
  <pageSetup paperSize="9"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EC08-2BE6-4BE9-AD5C-6E3E21E98654}">
  <dimension ref="A3:T25"/>
  <sheetViews>
    <sheetView topLeftCell="C1" workbookViewId="0">
      <selection activeCell="J7" sqref="J7"/>
    </sheetView>
  </sheetViews>
  <sheetFormatPr defaultRowHeight="12.75" x14ac:dyDescent="0.2"/>
  <cols>
    <col min="4" max="4" width="21.7109375" customWidth="1"/>
    <col min="5" max="5" width="11.5703125" bestFit="1" customWidth="1"/>
    <col min="6" max="6" width="13.85546875" bestFit="1" customWidth="1"/>
    <col min="7" max="7" width="11" bestFit="1" customWidth="1"/>
    <col min="8" max="8" width="14.85546875" customWidth="1"/>
    <col min="9" max="9" width="15.140625" customWidth="1"/>
    <col min="10" max="10" width="11.5703125" customWidth="1"/>
    <col min="13" max="13" width="25.5703125" bestFit="1" customWidth="1"/>
    <col min="14" max="14" width="27.28515625" bestFit="1" customWidth="1"/>
    <col min="15" max="15" width="13.28515625" customWidth="1"/>
    <col min="16" max="16" width="21.7109375" bestFit="1" customWidth="1"/>
  </cols>
  <sheetData>
    <row r="3" spans="1:20" s="22" customFormat="1" x14ac:dyDescent="0.2">
      <c r="A3" s="22" t="s">
        <v>2143</v>
      </c>
      <c r="B3" s="526" t="s">
        <v>2144</v>
      </c>
      <c r="C3" s="22" t="s">
        <v>2145</v>
      </c>
      <c r="D3" s="393" t="s">
        <v>2146</v>
      </c>
      <c r="E3" s="527" t="s">
        <v>2147</v>
      </c>
      <c r="F3" s="22" t="s">
        <v>2148</v>
      </c>
      <c r="G3" s="22" t="s">
        <v>2149</v>
      </c>
      <c r="H3" s="22" t="s">
        <v>2150</v>
      </c>
      <c r="I3" s="22" t="s">
        <v>2151</v>
      </c>
      <c r="J3" s="528" t="s">
        <v>2152</v>
      </c>
      <c r="K3" s="529" t="s">
        <v>1032</v>
      </c>
      <c r="L3" s="529" t="s">
        <v>2153</v>
      </c>
      <c r="M3" s="22" t="s">
        <v>2154</v>
      </c>
      <c r="N3" s="22" t="s">
        <v>2155</v>
      </c>
      <c r="O3" s="22" t="s">
        <v>2156</v>
      </c>
      <c r="P3" s="22" t="s">
        <v>2157</v>
      </c>
      <c r="Q3" s="22" t="s">
        <v>2158</v>
      </c>
      <c r="R3" s="22" t="s">
        <v>2159</v>
      </c>
      <c r="S3" s="22" t="s">
        <v>2160</v>
      </c>
      <c r="T3" s="22" t="s">
        <v>2161</v>
      </c>
    </row>
    <row r="4" spans="1:20" x14ac:dyDescent="0.2">
      <c r="A4" t="s">
        <v>53</v>
      </c>
      <c r="B4" s="520">
        <v>11212047</v>
      </c>
      <c r="C4" t="s">
        <v>2162</v>
      </c>
      <c r="D4" s="194" t="s">
        <v>2163</v>
      </c>
      <c r="E4" s="521">
        <v>44560</v>
      </c>
      <c r="F4" t="s">
        <v>2164</v>
      </c>
      <c r="G4" t="s">
        <v>1528</v>
      </c>
      <c r="I4" t="s">
        <v>2165</v>
      </c>
      <c r="J4" s="507">
        <v>230.26</v>
      </c>
      <c r="K4" s="364">
        <v>34.54</v>
      </c>
      <c r="L4" s="364">
        <v>264.8</v>
      </c>
      <c r="N4" t="s">
        <v>1042</v>
      </c>
      <c r="O4" t="s">
        <v>2166</v>
      </c>
      <c r="P4" t="s">
        <v>1525</v>
      </c>
      <c r="Q4" t="s">
        <v>317</v>
      </c>
      <c r="R4" t="s">
        <v>318</v>
      </c>
      <c r="S4" t="s">
        <v>2167</v>
      </c>
    </row>
    <row r="5" spans="1:20" x14ac:dyDescent="0.2">
      <c r="A5" t="s">
        <v>53</v>
      </c>
      <c r="B5" s="520">
        <v>11212047</v>
      </c>
      <c r="C5" t="s">
        <v>2162</v>
      </c>
      <c r="D5" s="194" t="s">
        <v>2163</v>
      </c>
      <c r="E5" s="521">
        <v>44560</v>
      </c>
      <c r="F5" t="s">
        <v>2168</v>
      </c>
      <c r="G5" t="s">
        <v>1528</v>
      </c>
      <c r="I5" t="s">
        <v>2169</v>
      </c>
      <c r="J5" s="507">
        <v>286.95999999999998</v>
      </c>
      <c r="K5" s="364">
        <v>43.04</v>
      </c>
      <c r="L5" s="364">
        <v>330</v>
      </c>
      <c r="N5" t="s">
        <v>1042</v>
      </c>
      <c r="O5" t="s">
        <v>2166</v>
      </c>
      <c r="P5" t="s">
        <v>1525</v>
      </c>
      <c r="Q5" t="s">
        <v>317</v>
      </c>
      <c r="R5" t="s">
        <v>318</v>
      </c>
      <c r="S5" t="s">
        <v>2167</v>
      </c>
    </row>
    <row r="6" spans="1:20" x14ac:dyDescent="0.2">
      <c r="A6" t="s">
        <v>53</v>
      </c>
      <c r="B6" s="520">
        <v>11212047</v>
      </c>
      <c r="C6" t="s">
        <v>2162</v>
      </c>
      <c r="D6" s="194" t="s">
        <v>2163</v>
      </c>
      <c r="E6" s="521">
        <v>44560</v>
      </c>
      <c r="F6" t="s">
        <v>2168</v>
      </c>
      <c r="G6" t="s">
        <v>1588</v>
      </c>
      <c r="I6" t="s">
        <v>2170</v>
      </c>
      <c r="J6" s="507">
        <v>105.35</v>
      </c>
      <c r="K6" s="364">
        <v>0</v>
      </c>
      <c r="L6" s="364">
        <v>105.35</v>
      </c>
      <c r="N6" t="s">
        <v>1042</v>
      </c>
      <c r="O6" t="s">
        <v>2166</v>
      </c>
      <c r="P6" t="s">
        <v>1525</v>
      </c>
      <c r="Q6" t="s">
        <v>317</v>
      </c>
      <c r="R6" t="s">
        <v>318</v>
      </c>
      <c r="S6" t="s">
        <v>2167</v>
      </c>
    </row>
    <row r="7" spans="1:20" x14ac:dyDescent="0.2">
      <c r="A7" t="s">
        <v>53</v>
      </c>
      <c r="B7" s="520">
        <v>11212047</v>
      </c>
      <c r="C7" t="s">
        <v>2162</v>
      </c>
      <c r="D7" s="194" t="s">
        <v>2163</v>
      </c>
      <c r="E7" s="521">
        <v>44560</v>
      </c>
      <c r="F7" t="s">
        <v>2168</v>
      </c>
      <c r="G7" t="s">
        <v>1588</v>
      </c>
      <c r="I7" t="s">
        <v>2171</v>
      </c>
      <c r="J7" s="507">
        <v>6599.59</v>
      </c>
      <c r="K7" s="364">
        <v>0</v>
      </c>
      <c r="L7" s="364">
        <v>6599.59</v>
      </c>
      <c r="N7" t="s">
        <v>1042</v>
      </c>
      <c r="O7" t="s">
        <v>2166</v>
      </c>
      <c r="P7" t="s">
        <v>1525</v>
      </c>
      <c r="Q7" t="s">
        <v>317</v>
      </c>
      <c r="R7" t="s">
        <v>318</v>
      </c>
      <c r="S7" t="s">
        <v>2167</v>
      </c>
    </row>
    <row r="8" spans="1:20" ht="13.5" thickBot="1" x14ac:dyDescent="0.25">
      <c r="I8" s="22" t="s">
        <v>1585</v>
      </c>
      <c r="J8" s="348">
        <f>SUM(J4:J7)</f>
        <v>7222.16</v>
      </c>
      <c r="K8" t="s">
        <v>2172</v>
      </c>
    </row>
    <row r="11" spans="1:20" x14ac:dyDescent="0.2">
      <c r="A11" s="22" t="s">
        <v>1021</v>
      </c>
      <c r="B11" s="22" t="s">
        <v>1022</v>
      </c>
      <c r="C11" s="22" t="s">
        <v>1023</v>
      </c>
      <c r="D11" s="22" t="s">
        <v>1024</v>
      </c>
      <c r="E11" s="22" t="s">
        <v>299</v>
      </c>
      <c r="F11" s="22" t="s">
        <v>1025</v>
      </c>
      <c r="G11" s="22" t="s">
        <v>1026</v>
      </c>
      <c r="H11" s="22" t="s">
        <v>1027</v>
      </c>
      <c r="I11" s="22" t="s">
        <v>1028</v>
      </c>
      <c r="J11" s="22" t="s">
        <v>1029</v>
      </c>
      <c r="K11" s="22" t="s">
        <v>1030</v>
      </c>
      <c r="L11" s="22" t="s">
        <v>1031</v>
      </c>
      <c r="M11" s="22" t="s">
        <v>1032</v>
      </c>
      <c r="N11" s="22" t="s">
        <v>1033</v>
      </c>
    </row>
    <row r="12" spans="1:20" x14ac:dyDescent="0.2">
      <c r="A12">
        <v>3605</v>
      </c>
      <c r="B12" t="s">
        <v>1037</v>
      </c>
      <c r="C12" t="s">
        <v>1038</v>
      </c>
      <c r="D12" t="s">
        <v>1770</v>
      </c>
      <c r="E12">
        <v>100</v>
      </c>
      <c r="F12" t="s">
        <v>1040</v>
      </c>
      <c r="G12" t="s">
        <v>2134</v>
      </c>
      <c r="H12" t="s">
        <v>1042</v>
      </c>
      <c r="I12" s="199">
        <v>44454</v>
      </c>
      <c r="J12" t="s">
        <v>1043</v>
      </c>
      <c r="K12" t="s">
        <v>2138</v>
      </c>
      <c r="L12">
        <v>10</v>
      </c>
      <c r="M12">
        <v>1.5</v>
      </c>
      <c r="N12">
        <v>11.5</v>
      </c>
    </row>
    <row r="13" spans="1:20" x14ac:dyDescent="0.2">
      <c r="A13">
        <v>3610</v>
      </c>
      <c r="B13" t="s">
        <v>1037</v>
      </c>
      <c r="C13" t="s">
        <v>1045</v>
      </c>
      <c r="E13">
        <v>100</v>
      </c>
      <c r="F13" t="s">
        <v>1040</v>
      </c>
      <c r="G13" t="s">
        <v>2134</v>
      </c>
      <c r="H13" t="s">
        <v>1042</v>
      </c>
      <c r="I13" s="199">
        <v>44454</v>
      </c>
      <c r="J13" t="s">
        <v>1043</v>
      </c>
      <c r="K13" t="s">
        <v>2138</v>
      </c>
      <c r="L13">
        <v>-439.43</v>
      </c>
      <c r="M13">
        <v>-65.91</v>
      </c>
      <c r="N13">
        <v>-505.34</v>
      </c>
    </row>
    <row r="14" spans="1:20" ht="13.5" thickBot="1" x14ac:dyDescent="0.25">
      <c r="K14" s="22" t="s">
        <v>2173</v>
      </c>
      <c r="L14" s="347">
        <f>SUM(L12:L13)</f>
        <v>-429.43</v>
      </c>
      <c r="M14" t="s">
        <v>2174</v>
      </c>
    </row>
    <row r="21" spans="1:19" s="22" customFormat="1" x14ac:dyDescent="0.2">
      <c r="A21" s="22" t="s">
        <v>2143</v>
      </c>
      <c r="B21" s="22" t="s">
        <v>2144</v>
      </c>
      <c r="C21" s="22" t="s">
        <v>2145</v>
      </c>
      <c r="D21" s="22" t="s">
        <v>2146</v>
      </c>
      <c r="E21" s="22" t="s">
        <v>2147</v>
      </c>
      <c r="F21" s="22" t="s">
        <v>2148</v>
      </c>
      <c r="G21" s="22" t="s">
        <v>2149</v>
      </c>
      <c r="H21" s="22" t="s">
        <v>2151</v>
      </c>
      <c r="I21" s="393" t="s">
        <v>2152</v>
      </c>
      <c r="J21" s="22" t="s">
        <v>1032</v>
      </c>
      <c r="K21" s="22" t="s">
        <v>2153</v>
      </c>
      <c r="L21" s="22" t="s">
        <v>2154</v>
      </c>
      <c r="M21" s="22" t="s">
        <v>2155</v>
      </c>
      <c r="N21" s="22" t="s">
        <v>2156</v>
      </c>
      <c r="O21" s="22" t="s">
        <v>2157</v>
      </c>
      <c r="P21" s="22" t="s">
        <v>2158</v>
      </c>
      <c r="Q21" s="22" t="s">
        <v>2159</v>
      </c>
      <c r="R21" s="22" t="s">
        <v>2160</v>
      </c>
      <c r="S21" s="22" t="s">
        <v>2161</v>
      </c>
    </row>
    <row r="22" spans="1:19" x14ac:dyDescent="0.2">
      <c r="A22" t="s">
        <v>53</v>
      </c>
      <c r="B22">
        <v>1717589</v>
      </c>
      <c r="C22" t="s">
        <v>2175</v>
      </c>
      <c r="D22" t="s">
        <v>2163</v>
      </c>
      <c r="E22" s="199">
        <v>44651</v>
      </c>
      <c r="F22" s="199">
        <v>44622</v>
      </c>
      <c r="G22" t="s">
        <v>1528</v>
      </c>
      <c r="H22" t="s">
        <v>2176</v>
      </c>
      <c r="I22" s="194">
        <v>10</v>
      </c>
      <c r="J22">
        <v>1.5</v>
      </c>
      <c r="K22">
        <v>11.5</v>
      </c>
      <c r="L22" t="s">
        <v>2059</v>
      </c>
      <c r="M22" t="s">
        <v>1042</v>
      </c>
      <c r="N22" t="s">
        <v>2177</v>
      </c>
      <c r="O22">
        <v>100</v>
      </c>
      <c r="P22" t="s">
        <v>1110</v>
      </c>
      <c r="Q22" t="s">
        <v>318</v>
      </c>
      <c r="R22" t="s">
        <v>2167</v>
      </c>
    </row>
    <row r="23" spans="1:19" x14ac:dyDescent="0.2">
      <c r="A23" t="s">
        <v>53</v>
      </c>
      <c r="B23">
        <v>1717589</v>
      </c>
      <c r="C23" t="s">
        <v>2175</v>
      </c>
      <c r="D23" t="s">
        <v>2163</v>
      </c>
      <c r="E23" s="199">
        <v>44651</v>
      </c>
      <c r="F23" s="199">
        <v>44622</v>
      </c>
      <c r="G23" t="s">
        <v>1528</v>
      </c>
      <c r="H23" t="s">
        <v>1039</v>
      </c>
      <c r="I23" s="194">
        <v>5.85</v>
      </c>
      <c r="J23">
        <v>0.88</v>
      </c>
      <c r="K23">
        <v>6.73</v>
      </c>
      <c r="L23" t="s">
        <v>2059</v>
      </c>
      <c r="M23" t="s">
        <v>1042</v>
      </c>
      <c r="N23" t="s">
        <v>2177</v>
      </c>
      <c r="O23">
        <v>100</v>
      </c>
      <c r="P23" t="s">
        <v>1110</v>
      </c>
      <c r="Q23" t="s">
        <v>318</v>
      </c>
      <c r="R23" t="s">
        <v>2167</v>
      </c>
    </row>
    <row r="24" spans="1:19" x14ac:dyDescent="0.2">
      <c r="A24" t="s">
        <v>53</v>
      </c>
      <c r="B24">
        <v>1717589</v>
      </c>
      <c r="C24" t="s">
        <v>2175</v>
      </c>
      <c r="D24" t="s">
        <v>2163</v>
      </c>
      <c r="E24" s="199">
        <v>44651</v>
      </c>
      <c r="F24" s="199">
        <v>44622</v>
      </c>
      <c r="G24" t="s">
        <v>1528</v>
      </c>
      <c r="H24" t="s">
        <v>1046</v>
      </c>
      <c r="I24" s="194">
        <v>10</v>
      </c>
      <c r="J24">
        <v>1.5</v>
      </c>
      <c r="K24">
        <v>11.5</v>
      </c>
      <c r="L24" t="s">
        <v>2059</v>
      </c>
      <c r="M24" t="s">
        <v>1042</v>
      </c>
      <c r="N24" t="s">
        <v>2177</v>
      </c>
      <c r="O24">
        <v>100</v>
      </c>
      <c r="P24" t="s">
        <v>1110</v>
      </c>
      <c r="Q24" t="s">
        <v>318</v>
      </c>
      <c r="R24" t="s">
        <v>2167</v>
      </c>
    </row>
    <row r="25" spans="1:19" ht="13.5" thickBot="1" x14ac:dyDescent="0.25">
      <c r="H25" s="22" t="s">
        <v>253</v>
      </c>
      <c r="I25" s="347">
        <f>SUM(I22:I24)</f>
        <v>25.85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389-15DC-41E7-946A-11EBD343F798}">
  <sheetPr>
    <tabColor theme="7"/>
  </sheetPr>
  <dimension ref="A1:U10"/>
  <sheetViews>
    <sheetView workbookViewId="0">
      <selection activeCell="F24" sqref="F24"/>
    </sheetView>
  </sheetViews>
  <sheetFormatPr defaultRowHeight="12.75" x14ac:dyDescent="0.2"/>
  <cols>
    <col min="2" max="2" width="24.5703125" customWidth="1"/>
    <col min="3" max="3" width="12.85546875" bestFit="1" customWidth="1"/>
    <col min="4" max="4" width="26.140625" bestFit="1" customWidth="1"/>
    <col min="5" max="5" width="46.28515625" bestFit="1" customWidth="1"/>
    <col min="7" max="7" width="12.28515625" bestFit="1" customWidth="1"/>
    <col min="11" max="11" width="9.140625" style="507"/>
  </cols>
  <sheetData>
    <row r="1" spans="1:21" ht="48.75" thickBot="1" x14ac:dyDescent="0.25">
      <c r="A1" s="458" t="s">
        <v>237</v>
      </c>
      <c r="B1" s="458" t="s">
        <v>1070</v>
      </c>
      <c r="C1" s="458" t="s">
        <v>1071</v>
      </c>
      <c r="D1" s="458" t="s">
        <v>1072</v>
      </c>
      <c r="E1" s="458" t="s">
        <v>185</v>
      </c>
      <c r="F1" s="458" t="s">
        <v>1075</v>
      </c>
      <c r="G1" s="458" t="s">
        <v>2178</v>
      </c>
      <c r="H1" s="458" t="s">
        <v>1077</v>
      </c>
      <c r="I1" s="458" t="s">
        <v>305</v>
      </c>
      <c r="J1" s="458" t="s">
        <v>1078</v>
      </c>
      <c r="K1" s="505" t="s">
        <v>273</v>
      </c>
      <c r="L1" s="458" t="s">
        <v>1079</v>
      </c>
      <c r="M1" s="458" t="s">
        <v>1080</v>
      </c>
      <c r="N1" s="458" t="s">
        <v>299</v>
      </c>
      <c r="O1" s="458" t="s">
        <v>300</v>
      </c>
      <c r="P1" s="458" t="s">
        <v>299</v>
      </c>
      <c r="Q1" s="458" t="s">
        <v>1025</v>
      </c>
      <c r="R1" s="458" t="s">
        <v>1081</v>
      </c>
      <c r="S1" s="458" t="s">
        <v>1082</v>
      </c>
      <c r="T1" s="458" t="s">
        <v>1083</v>
      </c>
      <c r="U1" s="458" t="s">
        <v>2179</v>
      </c>
    </row>
    <row r="2" spans="1:21" ht="16.5" thickBot="1" x14ac:dyDescent="0.25">
      <c r="A2" s="459" t="s">
        <v>1084</v>
      </c>
      <c r="B2" s="459" t="s">
        <v>1085</v>
      </c>
      <c r="C2" s="460">
        <v>44383</v>
      </c>
      <c r="D2" s="459" t="s">
        <v>2180</v>
      </c>
      <c r="E2" s="459" t="s">
        <v>2181</v>
      </c>
      <c r="F2" s="459"/>
      <c r="G2" s="459" t="s">
        <v>2059</v>
      </c>
      <c r="H2" s="459" t="s">
        <v>1660</v>
      </c>
      <c r="I2" s="461">
        <v>9</v>
      </c>
      <c r="J2" s="461">
        <v>9</v>
      </c>
      <c r="K2" s="506">
        <f>J2/23*20</f>
        <v>7.8260869565217392</v>
      </c>
      <c r="L2" s="459" t="s">
        <v>1084</v>
      </c>
      <c r="M2" s="459" t="s">
        <v>1088</v>
      </c>
      <c r="N2" s="459" t="s">
        <v>316</v>
      </c>
      <c r="O2" s="459" t="s">
        <v>317</v>
      </c>
      <c r="P2" s="459" t="s">
        <v>316</v>
      </c>
      <c r="Q2" s="459" t="s">
        <v>318</v>
      </c>
      <c r="R2" s="459" t="s">
        <v>317</v>
      </c>
      <c r="S2" s="459"/>
      <c r="T2" s="459"/>
      <c r="U2" s="459"/>
    </row>
    <row r="3" spans="1:21" ht="16.5" thickBot="1" x14ac:dyDescent="0.25">
      <c r="A3" s="459" t="s">
        <v>1084</v>
      </c>
      <c r="B3" s="459" t="s">
        <v>1085</v>
      </c>
      <c r="C3" s="460">
        <v>44383</v>
      </c>
      <c r="D3" s="459" t="s">
        <v>1090</v>
      </c>
      <c r="E3" s="459" t="s">
        <v>2182</v>
      </c>
      <c r="F3" s="459"/>
      <c r="G3" s="459" t="s">
        <v>2059</v>
      </c>
      <c r="H3" s="459" t="s">
        <v>1660</v>
      </c>
      <c r="I3" s="461">
        <v>36</v>
      </c>
      <c r="J3" s="461">
        <v>36</v>
      </c>
      <c r="K3" s="506">
        <f t="shared" ref="K3:K10" si="0">J3/23*20</f>
        <v>31.304347826086957</v>
      </c>
      <c r="L3" s="459" t="s">
        <v>1084</v>
      </c>
      <c r="M3" s="459" t="s">
        <v>1088</v>
      </c>
      <c r="N3" s="459" t="s">
        <v>316</v>
      </c>
      <c r="O3" s="459" t="s">
        <v>317</v>
      </c>
      <c r="P3" s="459" t="s">
        <v>316</v>
      </c>
      <c r="Q3" s="459" t="s">
        <v>318</v>
      </c>
      <c r="R3" s="459" t="s">
        <v>317</v>
      </c>
      <c r="S3" s="459"/>
      <c r="T3" s="459"/>
      <c r="U3" s="459"/>
    </row>
    <row r="4" spans="1:21" ht="16.5" thickBot="1" x14ac:dyDescent="0.25">
      <c r="A4" s="459" t="s">
        <v>1084</v>
      </c>
      <c r="B4" s="459" t="s">
        <v>1085</v>
      </c>
      <c r="C4" s="460">
        <v>44389</v>
      </c>
      <c r="D4" s="459" t="s">
        <v>2180</v>
      </c>
      <c r="E4" s="459" t="s">
        <v>2183</v>
      </c>
      <c r="F4" s="459"/>
      <c r="G4" s="459" t="s">
        <v>2059</v>
      </c>
      <c r="H4" s="459" t="s">
        <v>1660</v>
      </c>
      <c r="I4" s="461">
        <v>37.409999999999997</v>
      </c>
      <c r="J4" s="461">
        <v>37.409999999999997</v>
      </c>
      <c r="K4" s="506">
        <f t="shared" si="0"/>
        <v>32.530434782608694</v>
      </c>
      <c r="L4" s="459" t="s">
        <v>1084</v>
      </c>
      <c r="M4" s="459" t="s">
        <v>1088</v>
      </c>
      <c r="N4" s="459" t="s">
        <v>316</v>
      </c>
      <c r="O4" s="459" t="s">
        <v>317</v>
      </c>
      <c r="P4" s="459" t="s">
        <v>316</v>
      </c>
      <c r="Q4" s="459" t="s">
        <v>318</v>
      </c>
      <c r="R4" s="459" t="s">
        <v>317</v>
      </c>
      <c r="S4" s="459"/>
      <c r="T4" s="459"/>
      <c r="U4" s="459"/>
    </row>
    <row r="5" spans="1:21" ht="16.5" thickBot="1" x14ac:dyDescent="0.25">
      <c r="A5" s="459" t="s">
        <v>1084</v>
      </c>
      <c r="B5" s="459" t="s">
        <v>1085</v>
      </c>
      <c r="C5" s="460">
        <v>44390</v>
      </c>
      <c r="D5" s="459" t="s">
        <v>2180</v>
      </c>
      <c r="E5" s="459" t="s">
        <v>1750</v>
      </c>
      <c r="F5" s="459"/>
      <c r="G5" s="459" t="s">
        <v>2059</v>
      </c>
      <c r="H5" s="459" t="s">
        <v>1660</v>
      </c>
      <c r="I5" s="461">
        <v>11.76</v>
      </c>
      <c r="J5" s="461">
        <v>11.76</v>
      </c>
      <c r="K5" s="506">
        <f t="shared" si="0"/>
        <v>10.226086956521739</v>
      </c>
      <c r="L5" s="459" t="s">
        <v>1084</v>
      </c>
      <c r="M5" s="459" t="s">
        <v>1088</v>
      </c>
      <c r="N5" s="459" t="s">
        <v>316</v>
      </c>
      <c r="O5" s="459" t="s">
        <v>317</v>
      </c>
      <c r="P5" s="459" t="s">
        <v>316</v>
      </c>
      <c r="Q5" s="459" t="s">
        <v>318</v>
      </c>
      <c r="R5" s="459" t="s">
        <v>317</v>
      </c>
      <c r="S5" s="459"/>
      <c r="T5" s="459"/>
      <c r="U5" s="459"/>
    </row>
    <row r="6" spans="1:21" ht="16.5" thickBot="1" x14ac:dyDescent="0.25">
      <c r="A6" s="459" t="s">
        <v>1084</v>
      </c>
      <c r="B6" s="459" t="s">
        <v>1085</v>
      </c>
      <c r="C6" s="460">
        <v>44390</v>
      </c>
      <c r="D6" s="459" t="s">
        <v>1090</v>
      </c>
      <c r="E6" s="459" t="s">
        <v>2184</v>
      </c>
      <c r="F6" s="459"/>
      <c r="G6" s="459" t="s">
        <v>2059</v>
      </c>
      <c r="H6" s="459" t="s">
        <v>1660</v>
      </c>
      <c r="I6" s="461">
        <v>60.6</v>
      </c>
      <c r="J6" s="461">
        <v>60.6</v>
      </c>
      <c r="K6" s="506">
        <f t="shared" si="0"/>
        <v>52.695652173913039</v>
      </c>
      <c r="L6" s="459" t="s">
        <v>1084</v>
      </c>
      <c r="M6" s="459" t="s">
        <v>1088</v>
      </c>
      <c r="N6" s="459" t="s">
        <v>316</v>
      </c>
      <c r="O6" s="459" t="s">
        <v>317</v>
      </c>
      <c r="P6" s="459" t="s">
        <v>316</v>
      </c>
      <c r="Q6" s="459" t="s">
        <v>318</v>
      </c>
      <c r="R6" s="459" t="s">
        <v>317</v>
      </c>
      <c r="S6" s="459"/>
      <c r="T6" s="459"/>
      <c r="U6" s="459"/>
    </row>
    <row r="7" spans="1:21" ht="16.5" thickBot="1" x14ac:dyDescent="0.25">
      <c r="A7" s="459" t="s">
        <v>1084</v>
      </c>
      <c r="B7" s="459" t="s">
        <v>1085</v>
      </c>
      <c r="C7" s="460">
        <v>44390</v>
      </c>
      <c r="D7" s="459" t="s">
        <v>1090</v>
      </c>
      <c r="E7" s="459" t="s">
        <v>2185</v>
      </c>
      <c r="F7" s="459"/>
      <c r="G7" s="459" t="s">
        <v>2059</v>
      </c>
      <c r="H7" s="459" t="s">
        <v>1660</v>
      </c>
      <c r="I7" s="461">
        <v>77</v>
      </c>
      <c r="J7" s="461">
        <v>77</v>
      </c>
      <c r="K7" s="506">
        <f t="shared" si="0"/>
        <v>66.956521739130437</v>
      </c>
      <c r="L7" s="459" t="s">
        <v>1084</v>
      </c>
      <c r="M7" s="459" t="s">
        <v>1088</v>
      </c>
      <c r="N7" s="459" t="s">
        <v>316</v>
      </c>
      <c r="O7" s="459" t="s">
        <v>317</v>
      </c>
      <c r="P7" s="459" t="s">
        <v>316</v>
      </c>
      <c r="Q7" s="459" t="s">
        <v>318</v>
      </c>
      <c r="R7" s="459" t="s">
        <v>317</v>
      </c>
      <c r="S7" s="459"/>
      <c r="T7" s="459"/>
      <c r="U7" s="459"/>
    </row>
    <row r="8" spans="1:21" ht="16.5" thickBot="1" x14ac:dyDescent="0.25">
      <c r="A8" s="459" t="s">
        <v>1084</v>
      </c>
      <c r="B8" s="459" t="s">
        <v>1085</v>
      </c>
      <c r="C8" s="460">
        <v>44391</v>
      </c>
      <c r="D8" s="459" t="s">
        <v>2186</v>
      </c>
      <c r="E8" s="459" t="s">
        <v>2187</v>
      </c>
      <c r="F8" s="459"/>
      <c r="G8" s="459" t="s">
        <v>2059</v>
      </c>
      <c r="H8" s="459" t="s">
        <v>1660</v>
      </c>
      <c r="I8" s="461">
        <v>600</v>
      </c>
      <c r="J8" s="461">
        <v>600</v>
      </c>
      <c r="K8" s="506">
        <f t="shared" si="0"/>
        <v>521.73913043478262</v>
      </c>
      <c r="L8" s="459" t="s">
        <v>1084</v>
      </c>
      <c r="M8" s="459" t="s">
        <v>1088</v>
      </c>
      <c r="N8" s="459" t="s">
        <v>316</v>
      </c>
      <c r="O8" s="459" t="s">
        <v>317</v>
      </c>
      <c r="P8" s="459" t="s">
        <v>316</v>
      </c>
      <c r="Q8" s="459" t="s">
        <v>318</v>
      </c>
      <c r="R8" s="459" t="s">
        <v>317</v>
      </c>
      <c r="S8" s="459"/>
      <c r="T8" s="459"/>
      <c r="U8" s="459"/>
    </row>
    <row r="9" spans="1:21" s="194" customFormat="1" ht="16.5" thickBot="1" x14ac:dyDescent="0.25">
      <c r="A9" s="508" t="s">
        <v>1084</v>
      </c>
      <c r="B9" s="508" t="s">
        <v>1085</v>
      </c>
      <c r="C9" s="509">
        <v>44408</v>
      </c>
      <c r="D9" s="508" t="s">
        <v>2180</v>
      </c>
      <c r="E9" s="508" t="s">
        <v>2188</v>
      </c>
      <c r="F9" s="508"/>
      <c r="G9" s="508" t="s">
        <v>2059</v>
      </c>
      <c r="H9" s="508" t="s">
        <v>1660</v>
      </c>
      <c r="I9" s="510">
        <v>49</v>
      </c>
      <c r="J9" s="510">
        <v>49</v>
      </c>
      <c r="K9" s="506">
        <f t="shared" si="0"/>
        <v>42.608695652173914</v>
      </c>
      <c r="L9" s="508" t="s">
        <v>1084</v>
      </c>
      <c r="M9" s="508" t="s">
        <v>1088</v>
      </c>
      <c r="N9" s="508" t="s">
        <v>316</v>
      </c>
      <c r="O9" s="508" t="s">
        <v>317</v>
      </c>
      <c r="P9" s="508" t="s">
        <v>316</v>
      </c>
      <c r="Q9" s="508" t="s">
        <v>318</v>
      </c>
      <c r="R9" s="508" t="s">
        <v>317</v>
      </c>
      <c r="S9" s="508"/>
      <c r="T9" s="508"/>
      <c r="U9" s="508"/>
    </row>
    <row r="10" spans="1:21" ht="15.75" x14ac:dyDescent="0.2">
      <c r="A10" s="459" t="s">
        <v>1084</v>
      </c>
      <c r="B10" s="459" t="s">
        <v>1085</v>
      </c>
      <c r="C10" s="460">
        <v>44509</v>
      </c>
      <c r="D10" s="459" t="s">
        <v>2186</v>
      </c>
      <c r="E10" s="459" t="s">
        <v>2189</v>
      </c>
      <c r="F10" s="459"/>
      <c r="G10" s="459" t="s">
        <v>2059</v>
      </c>
      <c r="H10" s="459" t="s">
        <v>1660</v>
      </c>
      <c r="I10" s="461">
        <v>250</v>
      </c>
      <c r="J10" s="461">
        <v>250</v>
      </c>
      <c r="K10" s="506">
        <f t="shared" si="0"/>
        <v>217.39130434782609</v>
      </c>
      <c r="L10" s="459" t="s">
        <v>1084</v>
      </c>
      <c r="M10" s="459" t="s">
        <v>1088</v>
      </c>
      <c r="N10" s="459" t="s">
        <v>316</v>
      </c>
      <c r="O10" s="459" t="s">
        <v>317</v>
      </c>
      <c r="P10" s="459" t="s">
        <v>316</v>
      </c>
      <c r="Q10" s="459" t="s">
        <v>318</v>
      </c>
      <c r="R10" s="459" t="s">
        <v>317</v>
      </c>
      <c r="S10" s="459"/>
      <c r="T10" s="459"/>
      <c r="U10" s="459"/>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4208-6E97-42CD-A9B0-38A997B161E8}">
  <sheetPr>
    <tabColor theme="7"/>
  </sheetPr>
  <dimension ref="A1:R8"/>
  <sheetViews>
    <sheetView topLeftCell="E1" workbookViewId="0">
      <selection activeCell="R1" sqref="R1"/>
    </sheetView>
  </sheetViews>
  <sheetFormatPr defaultRowHeight="12.75" x14ac:dyDescent="0.2"/>
  <cols>
    <col min="2" max="2" width="21.5703125" customWidth="1"/>
    <col min="3" max="3" width="20.28515625" customWidth="1"/>
    <col min="4" max="4" width="28.85546875" customWidth="1"/>
    <col min="5" max="5" width="50.5703125" customWidth="1"/>
    <col min="7" max="7" width="14.28515625" customWidth="1"/>
    <col min="18" max="18" width="32.7109375" customWidth="1"/>
  </cols>
  <sheetData>
    <row r="1" spans="1:18" ht="48.75" thickBot="1" x14ac:dyDescent="0.25">
      <c r="A1" s="458" t="s">
        <v>237</v>
      </c>
      <c r="B1" s="458" t="s">
        <v>1070</v>
      </c>
      <c r="C1" s="458" t="s">
        <v>1071</v>
      </c>
      <c r="D1" s="458" t="s">
        <v>1072</v>
      </c>
      <c r="E1" s="458" t="s">
        <v>185</v>
      </c>
      <c r="F1" s="458" t="s">
        <v>1075</v>
      </c>
      <c r="G1" s="458" t="s">
        <v>2178</v>
      </c>
      <c r="H1" s="458" t="s">
        <v>1077</v>
      </c>
      <c r="I1" s="458" t="s">
        <v>305</v>
      </c>
      <c r="J1" s="458" t="s">
        <v>1078</v>
      </c>
      <c r="K1" s="458" t="s">
        <v>1079</v>
      </c>
      <c r="L1" s="458" t="s">
        <v>1080</v>
      </c>
      <c r="M1" s="458" t="s">
        <v>299</v>
      </c>
      <c r="N1" s="458" t="s">
        <v>300</v>
      </c>
      <c r="O1" s="458" t="s">
        <v>299</v>
      </c>
      <c r="P1" s="458" t="s">
        <v>1025</v>
      </c>
      <c r="Q1" s="458" t="s">
        <v>1081</v>
      </c>
      <c r="R1" s="531" t="s">
        <v>2190</v>
      </c>
    </row>
    <row r="2" spans="1:18" s="194" customFormat="1" ht="16.5" thickBot="1" x14ac:dyDescent="0.25">
      <c r="A2" s="508" t="s">
        <v>1084</v>
      </c>
      <c r="B2" s="508" t="s">
        <v>1085</v>
      </c>
      <c r="C2" s="509">
        <v>44533</v>
      </c>
      <c r="D2" s="508" t="s">
        <v>2180</v>
      </c>
      <c r="E2" s="508" t="s">
        <v>2191</v>
      </c>
      <c r="F2" s="508"/>
      <c r="G2" s="508" t="s">
        <v>2059</v>
      </c>
      <c r="H2" s="508" t="s">
        <v>1660</v>
      </c>
      <c r="I2" s="510">
        <v>10</v>
      </c>
      <c r="J2" s="510">
        <v>10</v>
      </c>
      <c r="K2" s="508" t="s">
        <v>1084</v>
      </c>
      <c r="L2" s="508" t="s">
        <v>1088</v>
      </c>
      <c r="M2" s="508" t="s">
        <v>316</v>
      </c>
      <c r="N2" s="508" t="s">
        <v>317</v>
      </c>
      <c r="O2" s="508" t="s">
        <v>316</v>
      </c>
      <c r="P2" s="508" t="s">
        <v>318</v>
      </c>
      <c r="Q2" s="508" t="s">
        <v>317</v>
      </c>
      <c r="R2" s="530" t="s">
        <v>24</v>
      </c>
    </row>
    <row r="3" spans="1:18" s="194" customFormat="1" ht="16.5" thickBot="1" x14ac:dyDescent="0.25">
      <c r="A3" s="508" t="s">
        <v>1084</v>
      </c>
      <c r="B3" s="508" t="s">
        <v>1085</v>
      </c>
      <c r="C3" s="509">
        <v>44553</v>
      </c>
      <c r="D3" s="508" t="s">
        <v>1090</v>
      </c>
      <c r="E3" s="508" t="s">
        <v>2192</v>
      </c>
      <c r="F3" s="508"/>
      <c r="G3" s="508" t="s">
        <v>2059</v>
      </c>
      <c r="H3" s="508" t="s">
        <v>1660</v>
      </c>
      <c r="I3" s="510">
        <v>7.5</v>
      </c>
      <c r="J3" s="510">
        <v>7.5</v>
      </c>
      <c r="K3" s="508" t="s">
        <v>1084</v>
      </c>
      <c r="L3" s="508" t="s">
        <v>1088</v>
      </c>
      <c r="M3" s="508" t="s">
        <v>316</v>
      </c>
      <c r="N3" s="508" t="s">
        <v>317</v>
      </c>
      <c r="O3" s="508" t="s">
        <v>316</v>
      </c>
      <c r="P3" s="508" t="s">
        <v>318</v>
      </c>
      <c r="Q3" s="508" t="s">
        <v>317</v>
      </c>
      <c r="R3" s="530" t="s">
        <v>2097</v>
      </c>
    </row>
    <row r="4" spans="1:18" ht="16.5" thickBot="1" x14ac:dyDescent="0.25">
      <c r="A4" s="459" t="s">
        <v>1084</v>
      </c>
      <c r="B4" s="459" t="s">
        <v>1085</v>
      </c>
      <c r="C4" s="460">
        <v>44547</v>
      </c>
      <c r="D4" s="459" t="s">
        <v>2180</v>
      </c>
      <c r="E4" s="459" t="s">
        <v>2193</v>
      </c>
      <c r="F4" s="459"/>
      <c r="G4" s="459" t="s">
        <v>2059</v>
      </c>
      <c r="H4" s="459" t="s">
        <v>1660</v>
      </c>
      <c r="I4" s="461">
        <v>48.3</v>
      </c>
      <c r="J4" s="461">
        <v>48.3</v>
      </c>
      <c r="K4" s="459" t="s">
        <v>1084</v>
      </c>
      <c r="L4" s="459" t="s">
        <v>1088</v>
      </c>
      <c r="M4" s="459" t="s">
        <v>316</v>
      </c>
      <c r="N4" s="459" t="s">
        <v>317</v>
      </c>
      <c r="O4" s="459" t="s">
        <v>316</v>
      </c>
      <c r="P4" s="459" t="s">
        <v>318</v>
      </c>
      <c r="Q4" s="459" t="s">
        <v>317</v>
      </c>
      <c r="R4" s="459" t="s">
        <v>2194</v>
      </c>
    </row>
    <row r="5" spans="1:18" ht="16.5" thickBot="1" x14ac:dyDescent="0.25">
      <c r="A5" s="459" t="s">
        <v>1084</v>
      </c>
      <c r="B5" s="459" t="s">
        <v>1085</v>
      </c>
      <c r="C5" s="460">
        <v>44552</v>
      </c>
      <c r="D5" s="459" t="s">
        <v>2195</v>
      </c>
      <c r="E5" s="459" t="s">
        <v>2196</v>
      </c>
      <c r="F5" s="459"/>
      <c r="G5" s="459" t="s">
        <v>2059</v>
      </c>
      <c r="H5" s="459" t="s">
        <v>1660</v>
      </c>
      <c r="I5" s="461">
        <v>250</v>
      </c>
      <c r="J5" s="461">
        <v>250</v>
      </c>
      <c r="K5" s="459" t="s">
        <v>1084</v>
      </c>
      <c r="L5" s="459" t="s">
        <v>1088</v>
      </c>
      <c r="M5" s="459" t="s">
        <v>316</v>
      </c>
      <c r="N5" s="459" t="s">
        <v>317</v>
      </c>
      <c r="O5" s="459" t="s">
        <v>316</v>
      </c>
      <c r="P5" s="459" t="s">
        <v>318</v>
      </c>
      <c r="Q5" s="459" t="s">
        <v>317</v>
      </c>
      <c r="R5" s="459" t="s">
        <v>2197</v>
      </c>
    </row>
    <row r="6" spans="1:18" s="194" customFormat="1" ht="16.5" thickBot="1" x14ac:dyDescent="0.25">
      <c r="A6" s="508" t="s">
        <v>1084</v>
      </c>
      <c r="B6" s="508" t="s">
        <v>1085</v>
      </c>
      <c r="C6" s="509">
        <v>44553</v>
      </c>
      <c r="D6" s="508" t="s">
        <v>2180</v>
      </c>
      <c r="E6" s="508" t="s">
        <v>2198</v>
      </c>
      <c r="F6" s="508"/>
      <c r="G6" s="508" t="s">
        <v>2059</v>
      </c>
      <c r="H6" s="508" t="s">
        <v>1660</v>
      </c>
      <c r="I6" s="510">
        <v>8.6</v>
      </c>
      <c r="J6" s="510">
        <v>8.6</v>
      </c>
      <c r="K6" s="508" t="s">
        <v>1084</v>
      </c>
      <c r="L6" s="508" t="s">
        <v>1088</v>
      </c>
      <c r="M6" s="508" t="s">
        <v>316</v>
      </c>
      <c r="N6" s="508" t="s">
        <v>317</v>
      </c>
      <c r="O6" s="508" t="s">
        <v>316</v>
      </c>
      <c r="P6" s="508" t="s">
        <v>318</v>
      </c>
      <c r="Q6" s="508" t="s">
        <v>317</v>
      </c>
      <c r="R6" s="530" t="s">
        <v>24</v>
      </c>
    </row>
    <row r="7" spans="1:18" ht="16.5" thickBot="1" x14ac:dyDescent="0.25">
      <c r="A7" s="459" t="s">
        <v>1084</v>
      </c>
      <c r="B7" s="459" t="s">
        <v>1085</v>
      </c>
      <c r="C7" s="460">
        <v>44571</v>
      </c>
      <c r="D7" s="459" t="s">
        <v>2195</v>
      </c>
      <c r="E7" s="459" t="s">
        <v>2199</v>
      </c>
      <c r="F7" s="459"/>
      <c r="G7" s="459" t="s">
        <v>2059</v>
      </c>
      <c r="H7" s="459" t="s">
        <v>1660</v>
      </c>
      <c r="I7" s="461">
        <v>-250</v>
      </c>
      <c r="J7" s="461">
        <v>-250</v>
      </c>
      <c r="K7" s="459" t="s">
        <v>1084</v>
      </c>
      <c r="L7" s="459" t="s">
        <v>1088</v>
      </c>
      <c r="M7" s="459" t="s">
        <v>316</v>
      </c>
      <c r="N7" s="459" t="s">
        <v>317</v>
      </c>
      <c r="O7" s="459" t="s">
        <v>316</v>
      </c>
      <c r="P7" s="459" t="s">
        <v>318</v>
      </c>
      <c r="Q7" s="459" t="s">
        <v>317</v>
      </c>
      <c r="R7" s="459" t="s">
        <v>2197</v>
      </c>
    </row>
    <row r="8" spans="1:18" ht="15.75" x14ac:dyDescent="0.2">
      <c r="A8" s="459" t="s">
        <v>1084</v>
      </c>
      <c r="B8" s="459" t="s">
        <v>1085</v>
      </c>
      <c r="C8" s="460">
        <v>44592</v>
      </c>
      <c r="D8" s="459" t="s">
        <v>2200</v>
      </c>
      <c r="E8" s="459" t="s">
        <v>2201</v>
      </c>
      <c r="F8" s="459"/>
      <c r="G8" s="459" t="s">
        <v>2059</v>
      </c>
      <c r="H8" s="459" t="s">
        <v>1660</v>
      </c>
      <c r="I8" s="461">
        <v>250</v>
      </c>
      <c r="J8" s="461">
        <v>250</v>
      </c>
      <c r="K8" s="459" t="s">
        <v>1084</v>
      </c>
      <c r="L8" s="459" t="s">
        <v>1088</v>
      </c>
      <c r="M8" s="459" t="s">
        <v>316</v>
      </c>
      <c r="N8" s="459" t="s">
        <v>317</v>
      </c>
      <c r="O8" s="459" t="s">
        <v>316</v>
      </c>
      <c r="P8" s="459" t="s">
        <v>318</v>
      </c>
      <c r="Q8" s="459" t="s">
        <v>317</v>
      </c>
      <c r="R8" s="459" t="s">
        <v>2197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E480-2EC6-43DD-8F81-4CA47A8F1CD9}">
  <sheetPr>
    <tabColor theme="7"/>
  </sheetPr>
  <dimension ref="A1:S23"/>
  <sheetViews>
    <sheetView workbookViewId="0">
      <pane ySplit="1" topLeftCell="A2" activePane="bottomLeft" state="frozen"/>
      <selection pane="bottomLeft" activeCell="L2" sqref="L2:L22"/>
    </sheetView>
  </sheetViews>
  <sheetFormatPr defaultColWidth="8.85546875" defaultRowHeight="15" x14ac:dyDescent="0.25"/>
  <cols>
    <col min="1" max="1" width="11.7109375" style="538" bestFit="1" customWidth="1"/>
    <col min="2" max="2" width="11.140625" style="538" bestFit="1" customWidth="1"/>
    <col min="3" max="3" width="18.7109375" style="538" bestFit="1" customWidth="1"/>
    <col min="4" max="5" width="16.7109375" style="538" bestFit="1" customWidth="1"/>
    <col min="6" max="6" width="23.85546875" style="538" bestFit="1" customWidth="1"/>
    <col min="7" max="7" width="41.7109375" style="538" bestFit="1" customWidth="1"/>
    <col min="8" max="8" width="17.85546875" style="538" bestFit="1" customWidth="1"/>
    <col min="9" max="9" width="14.140625" style="538" bestFit="1" customWidth="1"/>
    <col min="10" max="10" width="15.7109375" style="538" bestFit="1" customWidth="1"/>
    <col min="11" max="11" width="10.140625" style="538" bestFit="1" customWidth="1"/>
    <col min="12" max="12" width="15.140625" style="538" bestFit="1" customWidth="1"/>
    <col min="13" max="13" width="13.28515625" style="538" hidden="1" customWidth="1"/>
    <col min="14" max="14" width="15" style="538" hidden="1" customWidth="1"/>
    <col min="15" max="15" width="13.5703125" style="538" hidden="1" customWidth="1"/>
    <col min="16" max="16" width="9.28515625" style="538" hidden="1" customWidth="1"/>
    <col min="17" max="17" width="10" style="538" hidden="1" customWidth="1"/>
    <col min="18" max="18" width="21.7109375" style="544" customWidth="1"/>
    <col min="19" max="19" width="31.7109375" style="538" customWidth="1"/>
    <col min="20" max="16384" width="8.85546875" style="538"/>
  </cols>
  <sheetData>
    <row r="1" spans="1:19" x14ac:dyDescent="0.25">
      <c r="A1" s="537" t="s">
        <v>237</v>
      </c>
      <c r="B1" s="537" t="s">
        <v>2202</v>
      </c>
      <c r="C1" s="537" t="s">
        <v>1070</v>
      </c>
      <c r="D1" s="537" t="s">
        <v>1071</v>
      </c>
      <c r="E1" s="537" t="s">
        <v>2203</v>
      </c>
      <c r="F1" s="537" t="s">
        <v>1072</v>
      </c>
      <c r="G1" s="537" t="s">
        <v>185</v>
      </c>
      <c r="H1" s="537" t="s">
        <v>1075</v>
      </c>
      <c r="I1" s="537" t="s">
        <v>2178</v>
      </c>
      <c r="J1" s="537" t="s">
        <v>1077</v>
      </c>
      <c r="K1" s="537" t="s">
        <v>305</v>
      </c>
      <c r="L1" s="537" t="s">
        <v>1078</v>
      </c>
      <c r="M1" s="537" t="s">
        <v>299</v>
      </c>
      <c r="N1" s="537" t="s">
        <v>300</v>
      </c>
      <c r="O1" s="537" t="s">
        <v>2204</v>
      </c>
      <c r="P1" s="537" t="s">
        <v>1025</v>
      </c>
      <c r="Q1" s="537" t="s">
        <v>1081</v>
      </c>
      <c r="R1" s="543" t="s">
        <v>2205</v>
      </c>
      <c r="S1" s="537" t="s">
        <v>2206</v>
      </c>
    </row>
    <row r="2" spans="1:19" x14ac:dyDescent="0.25">
      <c r="A2" s="539" t="b">
        <f>FALSE()</f>
        <v>0</v>
      </c>
      <c r="B2" s="539">
        <v>5935</v>
      </c>
      <c r="C2" s="540" t="s">
        <v>1085</v>
      </c>
      <c r="D2" s="541">
        <v>44777</v>
      </c>
      <c r="E2" s="540" t="s">
        <v>2207</v>
      </c>
      <c r="F2" s="540" t="s">
        <v>2180</v>
      </c>
      <c r="G2" s="540" t="s">
        <v>2208</v>
      </c>
      <c r="H2" s="540" t="s">
        <v>293</v>
      </c>
      <c r="I2" s="540" t="s">
        <v>2059</v>
      </c>
      <c r="J2" s="540" t="s">
        <v>1660</v>
      </c>
      <c r="K2" s="542">
        <v>8.67</v>
      </c>
      <c r="L2" s="542">
        <v>8.67</v>
      </c>
      <c r="M2" s="540" t="s">
        <v>316</v>
      </c>
      <c r="N2" s="540" t="s">
        <v>317</v>
      </c>
      <c r="O2" s="540" t="s">
        <v>316</v>
      </c>
      <c r="P2" s="540" t="s">
        <v>318</v>
      </c>
      <c r="Q2" s="540" t="s">
        <v>317</v>
      </c>
      <c r="R2" s="545">
        <f>Table1[[#This Row],[Amount (LCY)]]/23*20</f>
        <v>7.5391304347826082</v>
      </c>
      <c r="S2" s="540" t="s">
        <v>24</v>
      </c>
    </row>
    <row r="3" spans="1:19" x14ac:dyDescent="0.25">
      <c r="A3" s="539" t="b">
        <f>FALSE()</f>
        <v>0</v>
      </c>
      <c r="B3" s="539">
        <v>6243</v>
      </c>
      <c r="C3" s="540" t="s">
        <v>1085</v>
      </c>
      <c r="D3" s="541">
        <v>44797</v>
      </c>
      <c r="E3" s="540" t="s">
        <v>2207</v>
      </c>
      <c r="F3" s="540" t="s">
        <v>2180</v>
      </c>
      <c r="G3" s="540" t="s">
        <v>2209</v>
      </c>
      <c r="H3" s="540" t="s">
        <v>293</v>
      </c>
      <c r="I3" s="540" t="s">
        <v>2059</v>
      </c>
      <c r="J3" s="540" t="s">
        <v>1660</v>
      </c>
      <c r="K3" s="542">
        <v>17</v>
      </c>
      <c r="L3" s="542">
        <v>17</v>
      </c>
      <c r="M3" s="540" t="s">
        <v>316</v>
      </c>
      <c r="N3" s="540" t="s">
        <v>317</v>
      </c>
      <c r="O3" s="540" t="s">
        <v>316</v>
      </c>
      <c r="P3" s="540" t="s">
        <v>318</v>
      </c>
      <c r="Q3" s="540" t="s">
        <v>317</v>
      </c>
      <c r="R3" s="545">
        <f>Table1[[#This Row],[Amount (LCY)]]/23*20</f>
        <v>14.782608695652172</v>
      </c>
      <c r="S3" s="540" t="s">
        <v>2210</v>
      </c>
    </row>
    <row r="4" spans="1:19" x14ac:dyDescent="0.25">
      <c r="A4" s="539" t="b">
        <f>FALSE()</f>
        <v>0</v>
      </c>
      <c r="B4" s="539">
        <v>6316</v>
      </c>
      <c r="C4" s="540" t="s">
        <v>1085</v>
      </c>
      <c r="D4" s="541">
        <v>44798</v>
      </c>
      <c r="E4" s="540" t="s">
        <v>2207</v>
      </c>
      <c r="F4" s="540" t="s">
        <v>2180</v>
      </c>
      <c r="G4" s="540" t="s">
        <v>2211</v>
      </c>
      <c r="H4" s="540" t="s">
        <v>293</v>
      </c>
      <c r="I4" s="540" t="s">
        <v>2059</v>
      </c>
      <c r="J4" s="540" t="s">
        <v>1660</v>
      </c>
      <c r="K4" s="542">
        <v>54</v>
      </c>
      <c r="L4" s="542">
        <v>54</v>
      </c>
      <c r="M4" s="540" t="s">
        <v>316</v>
      </c>
      <c r="N4" s="540" t="s">
        <v>317</v>
      </c>
      <c r="O4" s="540" t="s">
        <v>316</v>
      </c>
      <c r="P4" s="540" t="s">
        <v>318</v>
      </c>
      <c r="Q4" s="540" t="s">
        <v>317</v>
      </c>
      <c r="R4" s="545">
        <f>Table1[[#This Row],[Amount (LCY)]]/23*20</f>
        <v>46.956521739130437</v>
      </c>
      <c r="S4" s="540" t="s">
        <v>2212</v>
      </c>
    </row>
    <row r="5" spans="1:19" x14ac:dyDescent="0.25">
      <c r="A5" s="539" t="b">
        <f>FALSE()</f>
        <v>0</v>
      </c>
      <c r="B5" s="539">
        <v>6285</v>
      </c>
      <c r="C5" s="540" t="s">
        <v>1085</v>
      </c>
      <c r="D5" s="541">
        <v>44800</v>
      </c>
      <c r="E5" s="540" t="s">
        <v>2207</v>
      </c>
      <c r="F5" s="540" t="s">
        <v>2180</v>
      </c>
      <c r="G5" s="540" t="s">
        <v>2213</v>
      </c>
      <c r="H5" s="540" t="s">
        <v>293</v>
      </c>
      <c r="I5" s="540" t="s">
        <v>2059</v>
      </c>
      <c r="J5" s="540" t="s">
        <v>1660</v>
      </c>
      <c r="K5" s="542">
        <v>34.46</v>
      </c>
      <c r="L5" s="542">
        <v>34.46</v>
      </c>
      <c r="M5" s="540" t="s">
        <v>316</v>
      </c>
      <c r="N5" s="540" t="s">
        <v>317</v>
      </c>
      <c r="O5" s="540" t="s">
        <v>316</v>
      </c>
      <c r="P5" s="540" t="s">
        <v>318</v>
      </c>
      <c r="Q5" s="540" t="s">
        <v>317</v>
      </c>
      <c r="R5" s="545">
        <f>Table1[[#This Row],[Amount (LCY)]]/23*20</f>
        <v>29.96521739130435</v>
      </c>
      <c r="S5" s="540" t="s">
        <v>2212</v>
      </c>
    </row>
    <row r="6" spans="1:19" x14ac:dyDescent="0.25">
      <c r="A6" s="539" t="b">
        <f>FALSE()</f>
        <v>0</v>
      </c>
      <c r="B6" s="539">
        <v>6449</v>
      </c>
      <c r="C6" s="540" t="s">
        <v>1085</v>
      </c>
      <c r="D6" s="541">
        <v>44805</v>
      </c>
      <c r="E6" s="540" t="s">
        <v>2207</v>
      </c>
      <c r="F6" s="540" t="s">
        <v>2180</v>
      </c>
      <c r="G6" s="540" t="s">
        <v>2214</v>
      </c>
      <c r="H6" s="540" t="s">
        <v>293</v>
      </c>
      <c r="I6" s="540" t="s">
        <v>2059</v>
      </c>
      <c r="J6" s="540" t="s">
        <v>1660</v>
      </c>
      <c r="K6" s="542">
        <v>60.18</v>
      </c>
      <c r="L6" s="542">
        <v>60.18</v>
      </c>
      <c r="M6" s="540" t="s">
        <v>316</v>
      </c>
      <c r="N6" s="540" t="s">
        <v>317</v>
      </c>
      <c r="O6" s="540" t="s">
        <v>316</v>
      </c>
      <c r="P6" s="540" t="s">
        <v>318</v>
      </c>
      <c r="Q6" s="540" t="s">
        <v>317</v>
      </c>
      <c r="R6" s="545">
        <f>Table1[[#This Row],[Amount (LCY)]]/23*20</f>
        <v>52.330434782608691</v>
      </c>
      <c r="S6" s="540" t="s">
        <v>2215</v>
      </c>
    </row>
    <row r="7" spans="1:19" x14ac:dyDescent="0.25">
      <c r="A7" s="539" t="b">
        <f>FALSE()</f>
        <v>0</v>
      </c>
      <c r="B7" s="539">
        <v>6442</v>
      </c>
      <c r="C7" s="540" t="s">
        <v>1085</v>
      </c>
      <c r="D7" s="541">
        <v>44806</v>
      </c>
      <c r="E7" s="540" t="s">
        <v>2207</v>
      </c>
      <c r="F7" s="540" t="s">
        <v>2216</v>
      </c>
      <c r="G7" s="540" t="s">
        <v>2217</v>
      </c>
      <c r="H7" s="540" t="s">
        <v>293</v>
      </c>
      <c r="I7" s="540" t="s">
        <v>2059</v>
      </c>
      <c r="J7" s="540" t="s">
        <v>1660</v>
      </c>
      <c r="K7" s="542">
        <v>15.28</v>
      </c>
      <c r="L7" s="542">
        <v>15.28</v>
      </c>
      <c r="M7" s="540" t="s">
        <v>316</v>
      </c>
      <c r="N7" s="540" t="s">
        <v>317</v>
      </c>
      <c r="O7" s="540" t="s">
        <v>316</v>
      </c>
      <c r="P7" s="540" t="s">
        <v>318</v>
      </c>
      <c r="Q7" s="540" t="s">
        <v>317</v>
      </c>
      <c r="R7" s="545">
        <f>Table1[[#This Row],[Amount (LCY)]]/23*20</f>
        <v>13.28695652173913</v>
      </c>
      <c r="S7" s="540" t="s">
        <v>2215</v>
      </c>
    </row>
    <row r="8" spans="1:19" x14ac:dyDescent="0.25">
      <c r="A8" s="539" t="b">
        <f>FALSE()</f>
        <v>0</v>
      </c>
      <c r="B8" s="539">
        <v>6385</v>
      </c>
      <c r="C8" s="540" t="s">
        <v>1085</v>
      </c>
      <c r="D8" s="541">
        <v>44808</v>
      </c>
      <c r="E8" s="540" t="s">
        <v>2207</v>
      </c>
      <c r="F8" s="540" t="s">
        <v>2195</v>
      </c>
      <c r="G8" s="540" t="s">
        <v>2218</v>
      </c>
      <c r="H8" s="540" t="s">
        <v>293</v>
      </c>
      <c r="I8" s="540" t="s">
        <v>2059</v>
      </c>
      <c r="J8" s="540" t="s">
        <v>2219</v>
      </c>
      <c r="K8" s="542">
        <v>4.8</v>
      </c>
      <c r="L8" s="542">
        <v>9.32</v>
      </c>
      <c r="M8" s="540" t="s">
        <v>316</v>
      </c>
      <c r="N8" s="540" t="s">
        <v>317</v>
      </c>
      <c r="O8" s="540" t="s">
        <v>316</v>
      </c>
      <c r="P8" s="540" t="s">
        <v>318</v>
      </c>
      <c r="Q8" s="540" t="s">
        <v>317</v>
      </c>
      <c r="R8" s="545">
        <f>Table1[[#This Row],[Amount (LCY)]]</f>
        <v>9.32</v>
      </c>
      <c r="S8" s="540" t="s">
        <v>2220</v>
      </c>
    </row>
    <row r="9" spans="1:19" x14ac:dyDescent="0.25">
      <c r="A9" s="539" t="b">
        <f>FALSE()</f>
        <v>0</v>
      </c>
      <c r="B9" s="539">
        <v>6468</v>
      </c>
      <c r="C9" s="540" t="s">
        <v>1085</v>
      </c>
      <c r="D9" s="541">
        <v>44809</v>
      </c>
      <c r="E9" s="540" t="s">
        <v>2207</v>
      </c>
      <c r="F9" s="540" t="s">
        <v>2195</v>
      </c>
      <c r="G9" s="540" t="s">
        <v>2218</v>
      </c>
      <c r="H9" s="540" t="s">
        <v>293</v>
      </c>
      <c r="I9" s="540" t="s">
        <v>2059</v>
      </c>
      <c r="J9" s="540" t="s">
        <v>2219</v>
      </c>
      <c r="K9" s="542">
        <v>4.75</v>
      </c>
      <c r="L9" s="542">
        <v>9.2200000000000006</v>
      </c>
      <c r="M9" s="540" t="s">
        <v>316</v>
      </c>
      <c r="N9" s="540" t="s">
        <v>317</v>
      </c>
      <c r="O9" s="540" t="s">
        <v>316</v>
      </c>
      <c r="P9" s="540" t="s">
        <v>318</v>
      </c>
      <c r="Q9" s="540" t="s">
        <v>317</v>
      </c>
      <c r="R9" s="545">
        <f>Table1[[#This Row],[Amount (LCY)]]</f>
        <v>9.2200000000000006</v>
      </c>
      <c r="S9" s="540" t="s">
        <v>2220</v>
      </c>
    </row>
    <row r="10" spans="1:19" x14ac:dyDescent="0.25">
      <c r="A10" s="539" t="b">
        <f>FALSE()</f>
        <v>0</v>
      </c>
      <c r="B10" s="539">
        <v>6466</v>
      </c>
      <c r="C10" s="540" t="s">
        <v>1085</v>
      </c>
      <c r="D10" s="541">
        <v>44809</v>
      </c>
      <c r="E10" s="540" t="s">
        <v>2207</v>
      </c>
      <c r="F10" s="540" t="s">
        <v>2195</v>
      </c>
      <c r="G10" s="540" t="s">
        <v>2218</v>
      </c>
      <c r="H10" s="540" t="s">
        <v>293</v>
      </c>
      <c r="I10" s="540" t="s">
        <v>2059</v>
      </c>
      <c r="J10" s="540" t="s">
        <v>2219</v>
      </c>
      <c r="K10" s="542">
        <v>5.65</v>
      </c>
      <c r="L10" s="542">
        <v>10.97</v>
      </c>
      <c r="M10" s="540" t="s">
        <v>316</v>
      </c>
      <c r="N10" s="540" t="s">
        <v>317</v>
      </c>
      <c r="O10" s="540" t="s">
        <v>316</v>
      </c>
      <c r="P10" s="540" t="s">
        <v>318</v>
      </c>
      <c r="Q10" s="540" t="s">
        <v>317</v>
      </c>
      <c r="R10" s="545">
        <f>Table1[[#This Row],[Amount (LCY)]]</f>
        <v>10.97</v>
      </c>
      <c r="S10" s="540" t="s">
        <v>2220</v>
      </c>
    </row>
    <row r="11" spans="1:19" x14ac:dyDescent="0.25">
      <c r="A11" s="539" t="b">
        <f>FALSE()</f>
        <v>0</v>
      </c>
      <c r="B11" s="539">
        <v>6477</v>
      </c>
      <c r="C11" s="540" t="s">
        <v>1085</v>
      </c>
      <c r="D11" s="541">
        <v>44810</v>
      </c>
      <c r="E11" s="540" t="s">
        <v>2207</v>
      </c>
      <c r="F11" s="540" t="s">
        <v>2195</v>
      </c>
      <c r="G11" s="540" t="s">
        <v>2221</v>
      </c>
      <c r="H11" s="540" t="s">
        <v>293</v>
      </c>
      <c r="I11" s="540" t="s">
        <v>2059</v>
      </c>
      <c r="J11" s="540" t="s">
        <v>2219</v>
      </c>
      <c r="K11" s="542">
        <v>2.4</v>
      </c>
      <c r="L11" s="542">
        <v>4.62</v>
      </c>
      <c r="M11" s="540" t="s">
        <v>316</v>
      </c>
      <c r="N11" s="540" t="s">
        <v>317</v>
      </c>
      <c r="O11" s="540" t="s">
        <v>316</v>
      </c>
      <c r="P11" s="540" t="s">
        <v>318</v>
      </c>
      <c r="Q11" s="540" t="s">
        <v>317</v>
      </c>
      <c r="R11" s="545">
        <f>Table1[[#This Row],[Amount (LCY)]]</f>
        <v>4.62</v>
      </c>
      <c r="S11" s="540" t="s">
        <v>2220</v>
      </c>
    </row>
    <row r="12" spans="1:19" x14ac:dyDescent="0.25">
      <c r="A12" s="539" t="b">
        <f>FALSE()</f>
        <v>0</v>
      </c>
      <c r="B12" s="539">
        <v>6494</v>
      </c>
      <c r="C12" s="540" t="s">
        <v>1085</v>
      </c>
      <c r="D12" s="541">
        <v>44811</v>
      </c>
      <c r="E12" s="540" t="s">
        <v>2207</v>
      </c>
      <c r="F12" s="540" t="s">
        <v>2195</v>
      </c>
      <c r="G12" s="540" t="s">
        <v>2222</v>
      </c>
      <c r="H12" s="540" t="s">
        <v>293</v>
      </c>
      <c r="I12" s="540" t="s">
        <v>2059</v>
      </c>
      <c r="J12" s="540" t="s">
        <v>2219</v>
      </c>
      <c r="K12" s="542">
        <v>19</v>
      </c>
      <c r="L12" s="542">
        <v>37.049999999999997</v>
      </c>
      <c r="M12" s="540" t="s">
        <v>316</v>
      </c>
      <c r="N12" s="540" t="s">
        <v>317</v>
      </c>
      <c r="O12" s="540" t="s">
        <v>316</v>
      </c>
      <c r="P12" s="540" t="s">
        <v>318</v>
      </c>
      <c r="Q12" s="540" t="s">
        <v>317</v>
      </c>
      <c r="R12" s="545">
        <f>Table1[[#This Row],[Amount (LCY)]]</f>
        <v>37.049999999999997</v>
      </c>
      <c r="S12" s="540" t="s">
        <v>2220</v>
      </c>
    </row>
    <row r="13" spans="1:19" x14ac:dyDescent="0.25">
      <c r="A13" s="539" t="b">
        <f>FALSE()</f>
        <v>0</v>
      </c>
      <c r="B13" s="539">
        <v>6567</v>
      </c>
      <c r="C13" s="540" t="s">
        <v>1085</v>
      </c>
      <c r="D13" s="541">
        <v>44812</v>
      </c>
      <c r="E13" s="540" t="s">
        <v>2207</v>
      </c>
      <c r="F13" s="540" t="s">
        <v>2195</v>
      </c>
      <c r="G13" s="540" t="s">
        <v>2223</v>
      </c>
      <c r="H13" s="540" t="s">
        <v>293</v>
      </c>
      <c r="I13" s="540" t="s">
        <v>2059</v>
      </c>
      <c r="J13" s="540" t="s">
        <v>2219</v>
      </c>
      <c r="K13" s="542">
        <v>13.8</v>
      </c>
      <c r="L13" s="542">
        <v>26.92</v>
      </c>
      <c r="M13" s="540" t="s">
        <v>316</v>
      </c>
      <c r="N13" s="540" t="s">
        <v>317</v>
      </c>
      <c r="O13" s="540" t="s">
        <v>316</v>
      </c>
      <c r="P13" s="540" t="s">
        <v>318</v>
      </c>
      <c r="Q13" s="540" t="s">
        <v>317</v>
      </c>
      <c r="R13" s="545">
        <f>Table1[[#This Row],[Amount (LCY)]]</f>
        <v>26.92</v>
      </c>
      <c r="S13" s="540" t="s">
        <v>2220</v>
      </c>
    </row>
    <row r="14" spans="1:19" x14ac:dyDescent="0.25">
      <c r="A14" s="539" t="b">
        <f>FALSE()</f>
        <v>0</v>
      </c>
      <c r="B14" s="539">
        <v>6597</v>
      </c>
      <c r="C14" s="540" t="s">
        <v>1085</v>
      </c>
      <c r="D14" s="541">
        <v>44813</v>
      </c>
      <c r="E14" s="540" t="s">
        <v>2207</v>
      </c>
      <c r="F14" s="540" t="s">
        <v>2216</v>
      </c>
      <c r="G14" s="540" t="s">
        <v>2224</v>
      </c>
      <c r="H14" s="540" t="s">
        <v>293</v>
      </c>
      <c r="I14" s="540" t="s">
        <v>2059</v>
      </c>
      <c r="J14" s="540" t="s">
        <v>2219</v>
      </c>
      <c r="K14" s="542">
        <v>15.33</v>
      </c>
      <c r="L14" s="542">
        <v>29.79</v>
      </c>
      <c r="M14" s="540" t="s">
        <v>316</v>
      </c>
      <c r="N14" s="540" t="s">
        <v>317</v>
      </c>
      <c r="O14" s="540" t="s">
        <v>316</v>
      </c>
      <c r="P14" s="540" t="s">
        <v>318</v>
      </c>
      <c r="Q14" s="540" t="s">
        <v>317</v>
      </c>
      <c r="R14" s="545">
        <f>Table1[[#This Row],[Amount (LCY)]]</f>
        <v>29.79</v>
      </c>
      <c r="S14" s="540" t="s">
        <v>2220</v>
      </c>
    </row>
    <row r="15" spans="1:19" x14ac:dyDescent="0.25">
      <c r="A15" s="539" t="b">
        <f>FALSE()</f>
        <v>0</v>
      </c>
      <c r="B15" s="539">
        <v>6607</v>
      </c>
      <c r="C15" s="540" t="s">
        <v>1085</v>
      </c>
      <c r="D15" s="541">
        <v>44813</v>
      </c>
      <c r="E15" s="540" t="s">
        <v>2207</v>
      </c>
      <c r="F15" s="540" t="s">
        <v>2216</v>
      </c>
      <c r="G15" s="540" t="s">
        <v>2225</v>
      </c>
      <c r="H15" s="540" t="s">
        <v>293</v>
      </c>
      <c r="I15" s="540" t="s">
        <v>2059</v>
      </c>
      <c r="J15" s="540" t="s">
        <v>2219</v>
      </c>
      <c r="K15" s="542">
        <v>21.2</v>
      </c>
      <c r="L15" s="542">
        <v>41.2</v>
      </c>
      <c r="M15" s="540" t="s">
        <v>316</v>
      </c>
      <c r="N15" s="540" t="s">
        <v>317</v>
      </c>
      <c r="O15" s="540" t="s">
        <v>316</v>
      </c>
      <c r="P15" s="540" t="s">
        <v>318</v>
      </c>
      <c r="Q15" s="540" t="s">
        <v>317</v>
      </c>
      <c r="R15" s="545">
        <f>Table1[[#This Row],[Amount (LCY)]]</f>
        <v>41.2</v>
      </c>
      <c r="S15" s="540" t="s">
        <v>2220</v>
      </c>
    </row>
    <row r="16" spans="1:19" x14ac:dyDescent="0.25">
      <c r="A16" s="539" t="b">
        <f>FALSE()</f>
        <v>0</v>
      </c>
      <c r="B16" s="539">
        <v>6593</v>
      </c>
      <c r="C16" s="540" t="s">
        <v>1085</v>
      </c>
      <c r="D16" s="541">
        <v>44814</v>
      </c>
      <c r="E16" s="540" t="s">
        <v>2207</v>
      </c>
      <c r="F16" s="540" t="s">
        <v>2216</v>
      </c>
      <c r="G16" s="540" t="s">
        <v>2226</v>
      </c>
      <c r="H16" s="540" t="s">
        <v>293</v>
      </c>
      <c r="I16" s="540" t="s">
        <v>2059</v>
      </c>
      <c r="J16" s="540" t="s">
        <v>1758</v>
      </c>
      <c r="K16" s="542">
        <v>27.25</v>
      </c>
      <c r="L16" s="542">
        <v>46.19</v>
      </c>
      <c r="M16" s="540" t="s">
        <v>316</v>
      </c>
      <c r="N16" s="540" t="s">
        <v>317</v>
      </c>
      <c r="O16" s="540" t="s">
        <v>316</v>
      </c>
      <c r="P16" s="540" t="s">
        <v>318</v>
      </c>
      <c r="Q16" s="540" t="s">
        <v>317</v>
      </c>
      <c r="R16" s="545">
        <f>Table1[[#This Row],[Amount (LCY)]]</f>
        <v>46.19</v>
      </c>
      <c r="S16" s="540" t="s">
        <v>2220</v>
      </c>
    </row>
    <row r="17" spans="1:19" x14ac:dyDescent="0.25">
      <c r="A17" s="539" t="b">
        <f>FALSE()</f>
        <v>0</v>
      </c>
      <c r="B17" s="539">
        <v>6624</v>
      </c>
      <c r="C17" s="540" t="s">
        <v>1085</v>
      </c>
      <c r="D17" s="541">
        <v>44814</v>
      </c>
      <c r="E17" s="540" t="s">
        <v>2207</v>
      </c>
      <c r="F17" s="540" t="s">
        <v>2195</v>
      </c>
      <c r="G17" s="540" t="s">
        <v>2223</v>
      </c>
      <c r="H17" s="540" t="s">
        <v>293</v>
      </c>
      <c r="I17" s="540" t="s">
        <v>2059</v>
      </c>
      <c r="J17" s="540" t="s">
        <v>2219</v>
      </c>
      <c r="K17" s="542">
        <v>6.35</v>
      </c>
      <c r="L17" s="542">
        <v>12.4</v>
      </c>
      <c r="M17" s="540" t="s">
        <v>316</v>
      </c>
      <c r="N17" s="540" t="s">
        <v>317</v>
      </c>
      <c r="O17" s="540" t="s">
        <v>316</v>
      </c>
      <c r="P17" s="540" t="s">
        <v>318</v>
      </c>
      <c r="Q17" s="540" t="s">
        <v>317</v>
      </c>
      <c r="R17" s="545">
        <f>Table1[[#This Row],[Amount (LCY)]]</f>
        <v>12.4</v>
      </c>
      <c r="S17" s="540" t="s">
        <v>2220</v>
      </c>
    </row>
    <row r="18" spans="1:19" x14ac:dyDescent="0.25">
      <c r="A18" s="539" t="b">
        <f>FALSE()</f>
        <v>0</v>
      </c>
      <c r="B18" s="539">
        <v>6629</v>
      </c>
      <c r="C18" s="540" t="s">
        <v>1085</v>
      </c>
      <c r="D18" s="541">
        <v>44814</v>
      </c>
      <c r="E18" s="540" t="s">
        <v>2207</v>
      </c>
      <c r="F18" s="540" t="s">
        <v>2195</v>
      </c>
      <c r="G18" s="540" t="s">
        <v>2227</v>
      </c>
      <c r="H18" s="540" t="s">
        <v>293</v>
      </c>
      <c r="I18" s="540" t="s">
        <v>2059</v>
      </c>
      <c r="J18" s="540" t="s">
        <v>2219</v>
      </c>
      <c r="K18" s="542">
        <v>1418.44</v>
      </c>
      <c r="L18" s="542">
        <v>2769.87</v>
      </c>
      <c r="M18" s="540" t="s">
        <v>316</v>
      </c>
      <c r="N18" s="540" t="s">
        <v>317</v>
      </c>
      <c r="O18" s="540" t="s">
        <v>316</v>
      </c>
      <c r="P18" s="540" t="s">
        <v>318</v>
      </c>
      <c r="Q18" s="540" t="s">
        <v>317</v>
      </c>
      <c r="R18" s="545">
        <f>Table1[[#This Row],[Amount (LCY)]]</f>
        <v>2769.87</v>
      </c>
      <c r="S18" s="540" t="s">
        <v>2220</v>
      </c>
    </row>
    <row r="19" spans="1:19" x14ac:dyDescent="0.25">
      <c r="A19" s="539" t="b">
        <f>FALSE()</f>
        <v>0</v>
      </c>
      <c r="B19" s="539">
        <v>6626</v>
      </c>
      <c r="C19" s="540" t="s">
        <v>1085</v>
      </c>
      <c r="D19" s="541">
        <v>44815</v>
      </c>
      <c r="E19" s="540" t="s">
        <v>2207</v>
      </c>
      <c r="F19" s="540" t="s">
        <v>2195</v>
      </c>
      <c r="G19" s="540" t="s">
        <v>2228</v>
      </c>
      <c r="H19" s="540" t="s">
        <v>293</v>
      </c>
      <c r="I19" s="540" t="s">
        <v>2059</v>
      </c>
      <c r="J19" s="540" t="s">
        <v>1758</v>
      </c>
      <c r="K19" s="542">
        <v>15.6</v>
      </c>
      <c r="L19" s="542">
        <v>26.45</v>
      </c>
      <c r="M19" s="540" t="s">
        <v>316</v>
      </c>
      <c r="N19" s="540" t="s">
        <v>317</v>
      </c>
      <c r="O19" s="540" t="s">
        <v>316</v>
      </c>
      <c r="P19" s="540" t="s">
        <v>318</v>
      </c>
      <c r="Q19" s="540" t="s">
        <v>317</v>
      </c>
      <c r="R19" s="545">
        <f>Table1[[#This Row],[Amount (LCY)]]</f>
        <v>26.45</v>
      </c>
      <c r="S19" s="540" t="s">
        <v>2220</v>
      </c>
    </row>
    <row r="20" spans="1:19" x14ac:dyDescent="0.25">
      <c r="A20" s="539" t="b">
        <f>FALSE()</f>
        <v>0</v>
      </c>
      <c r="B20" s="539">
        <v>6713</v>
      </c>
      <c r="C20" s="540" t="s">
        <v>1085</v>
      </c>
      <c r="D20" s="541">
        <v>44818</v>
      </c>
      <c r="E20" s="540" t="s">
        <v>2207</v>
      </c>
      <c r="F20" s="540" t="s">
        <v>2195</v>
      </c>
      <c r="G20" s="540" t="s">
        <v>2229</v>
      </c>
      <c r="H20" s="540" t="s">
        <v>293</v>
      </c>
      <c r="I20" s="540" t="s">
        <v>2059</v>
      </c>
      <c r="J20" s="540" t="s">
        <v>1758</v>
      </c>
      <c r="K20" s="542">
        <v>5.85</v>
      </c>
      <c r="L20" s="542">
        <v>10.06</v>
      </c>
      <c r="M20" s="540" t="s">
        <v>316</v>
      </c>
      <c r="N20" s="540" t="s">
        <v>317</v>
      </c>
      <c r="O20" s="540" t="s">
        <v>316</v>
      </c>
      <c r="P20" s="540" t="s">
        <v>318</v>
      </c>
      <c r="Q20" s="540" t="s">
        <v>317</v>
      </c>
      <c r="R20" s="545">
        <f>Table1[[#This Row],[Amount (LCY)]]</f>
        <v>10.06</v>
      </c>
      <c r="S20" s="540" t="s">
        <v>2230</v>
      </c>
    </row>
    <row r="21" spans="1:19" x14ac:dyDescent="0.25">
      <c r="A21" s="539" t="b">
        <f>FALSE()</f>
        <v>0</v>
      </c>
      <c r="B21" s="539">
        <v>6738</v>
      </c>
      <c r="C21" s="540" t="s">
        <v>1085</v>
      </c>
      <c r="D21" s="541">
        <v>44820</v>
      </c>
      <c r="E21" s="540" t="s">
        <v>2207</v>
      </c>
      <c r="F21" s="540" t="s">
        <v>2216</v>
      </c>
      <c r="G21" s="540" t="s">
        <v>2231</v>
      </c>
      <c r="H21" s="540" t="s">
        <v>293</v>
      </c>
      <c r="I21" s="540" t="s">
        <v>2059</v>
      </c>
      <c r="J21" s="540" t="s">
        <v>1758</v>
      </c>
      <c r="K21" s="542">
        <v>14.85</v>
      </c>
      <c r="L21" s="542">
        <v>25.28</v>
      </c>
      <c r="M21" s="540" t="s">
        <v>316</v>
      </c>
      <c r="N21" s="540" t="s">
        <v>317</v>
      </c>
      <c r="O21" s="540" t="s">
        <v>316</v>
      </c>
      <c r="P21" s="540" t="s">
        <v>318</v>
      </c>
      <c r="Q21" s="540" t="s">
        <v>317</v>
      </c>
      <c r="R21" s="545">
        <f>Table1[[#This Row],[Amount (LCY)]]</f>
        <v>25.28</v>
      </c>
      <c r="S21" s="540" t="s">
        <v>2230</v>
      </c>
    </row>
    <row r="22" spans="1:19" x14ac:dyDescent="0.25">
      <c r="A22" s="539" t="b">
        <f>FALSE()</f>
        <v>0</v>
      </c>
      <c r="B22" s="539">
        <v>6737</v>
      </c>
      <c r="C22" s="540" t="s">
        <v>1085</v>
      </c>
      <c r="D22" s="541">
        <v>44821</v>
      </c>
      <c r="E22" s="540" t="s">
        <v>2207</v>
      </c>
      <c r="F22" s="540" t="s">
        <v>2195</v>
      </c>
      <c r="G22" s="540" t="s">
        <v>2232</v>
      </c>
      <c r="H22" s="540" t="s">
        <v>293</v>
      </c>
      <c r="I22" s="540" t="s">
        <v>2059</v>
      </c>
      <c r="J22" s="540" t="s">
        <v>1660</v>
      </c>
      <c r="K22" s="542">
        <v>721.78</v>
      </c>
      <c r="L22" s="542">
        <v>721.78</v>
      </c>
      <c r="M22" s="540" t="s">
        <v>316</v>
      </c>
      <c r="N22" s="540" t="s">
        <v>317</v>
      </c>
      <c r="O22" s="540" t="s">
        <v>316</v>
      </c>
      <c r="P22" s="540" t="s">
        <v>318</v>
      </c>
      <c r="Q22" s="540" t="s">
        <v>317</v>
      </c>
      <c r="R22" s="545">
        <f>Table1[[#This Row],[Amount (LCY)]]</f>
        <v>721.78</v>
      </c>
      <c r="S22" s="540" t="s">
        <v>2230</v>
      </c>
    </row>
    <row r="23" spans="1:19" x14ac:dyDescent="0.25">
      <c r="L23" s="538" t="s">
        <v>2233</v>
      </c>
      <c r="R23" s="546">
        <f>SUBTOTAL(109,Table1[Amount Excl. GST])</f>
        <v>3945.9808695652173</v>
      </c>
    </row>
  </sheetData>
  <phoneticPr fontId="104" type="noConversion"/>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DC2B-FA6F-4CCD-9D22-C126BACA7F2C}">
  <sheetPr>
    <tabColor theme="7"/>
  </sheetPr>
  <dimension ref="A2:D34"/>
  <sheetViews>
    <sheetView workbookViewId="0">
      <selection activeCell="A5" sqref="A5:F5"/>
    </sheetView>
  </sheetViews>
  <sheetFormatPr defaultRowHeight="12.75" x14ac:dyDescent="0.2"/>
  <cols>
    <col min="2" max="2" width="9.140625" style="480"/>
  </cols>
  <sheetData>
    <row r="2" spans="1:4" ht="15.75" x14ac:dyDescent="0.25">
      <c r="A2" s="15" t="s">
        <v>2234</v>
      </c>
    </row>
    <row r="3" spans="1:4" ht="15.75" x14ac:dyDescent="0.25">
      <c r="A3" s="15" t="s">
        <v>2235</v>
      </c>
    </row>
    <row r="5" spans="1:4" s="22" customFormat="1" x14ac:dyDescent="0.2">
      <c r="A5" s="481">
        <v>44531</v>
      </c>
      <c r="B5" s="395">
        <f>38.17+0.85</f>
        <v>39.020000000000003</v>
      </c>
      <c r="D5" t="s">
        <v>2236</v>
      </c>
    </row>
    <row r="6" spans="1:4" x14ac:dyDescent="0.2">
      <c r="A6" s="206"/>
    </row>
    <row r="7" spans="1:4" x14ac:dyDescent="0.2">
      <c r="A7" s="206"/>
    </row>
    <row r="8" spans="1:4" x14ac:dyDescent="0.2">
      <c r="A8" s="206"/>
    </row>
    <row r="9" spans="1:4" x14ac:dyDescent="0.2">
      <c r="A9" s="206"/>
    </row>
    <row r="10" spans="1:4" x14ac:dyDescent="0.2">
      <c r="A10" s="206"/>
    </row>
    <row r="11" spans="1:4" x14ac:dyDescent="0.2">
      <c r="A11" s="206"/>
    </row>
    <row r="12" spans="1:4" x14ac:dyDescent="0.2">
      <c r="A12" s="481">
        <v>44562</v>
      </c>
      <c r="B12" s="395">
        <f>38.17+0.85</f>
        <v>39.020000000000003</v>
      </c>
      <c r="D12" t="s">
        <v>2237</v>
      </c>
    </row>
    <row r="13" spans="1:4" x14ac:dyDescent="0.2">
      <c r="A13" s="206"/>
    </row>
    <row r="14" spans="1:4" x14ac:dyDescent="0.2">
      <c r="A14" s="206"/>
    </row>
    <row r="15" spans="1:4" x14ac:dyDescent="0.2">
      <c r="A15" s="206"/>
    </row>
    <row r="16" spans="1:4" x14ac:dyDescent="0.2">
      <c r="A16" s="206"/>
    </row>
    <row r="17" spans="1:4" x14ac:dyDescent="0.2">
      <c r="A17" s="206"/>
    </row>
    <row r="18" spans="1:4" x14ac:dyDescent="0.2">
      <c r="A18" s="481">
        <v>44593</v>
      </c>
      <c r="B18" s="395">
        <f>38.51+0.85</f>
        <v>39.36</v>
      </c>
      <c r="D18" t="s">
        <v>2238</v>
      </c>
    </row>
    <row r="26" spans="1:4" x14ac:dyDescent="0.2">
      <c r="A26" s="481">
        <v>44621</v>
      </c>
      <c r="B26" s="395">
        <f>38.34-0.85</f>
        <v>37.49</v>
      </c>
      <c r="D26" t="s">
        <v>2239</v>
      </c>
    </row>
    <row r="34" spans="1:2" x14ac:dyDescent="0.2">
      <c r="A34" s="534"/>
      <c r="B34" s="533"/>
    </row>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37D3-EE72-4D9F-9D9D-1FE4E483CE8E}">
  <sheetPr>
    <tabColor theme="9"/>
    <pageSetUpPr fitToPage="1"/>
  </sheetPr>
  <dimension ref="A8:S53"/>
  <sheetViews>
    <sheetView zoomScaleNormal="100" workbookViewId="0">
      <selection activeCell="F48" sqref="F48"/>
    </sheetView>
  </sheetViews>
  <sheetFormatPr defaultColWidth="9.140625" defaultRowHeight="15" x14ac:dyDescent="0.25"/>
  <cols>
    <col min="1" max="1" width="23.28515625" style="233" customWidth="1"/>
    <col min="2" max="2" width="46"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t="s">
        <v>2240</v>
      </c>
      <c r="C15" s="238"/>
      <c r="M15" s="239"/>
      <c r="N15" s="239"/>
    </row>
    <row r="16" spans="1:19" x14ac:dyDescent="0.25">
      <c r="A16" s="237" t="s">
        <v>1851</v>
      </c>
      <c r="B16" s="582" t="s">
        <v>134</v>
      </c>
      <c r="M16" s="239"/>
      <c r="N16" s="239"/>
      <c r="O16" s="239"/>
      <c r="P16" s="239"/>
      <c r="Q16" s="240"/>
      <c r="R16" s="239"/>
      <c r="S16" s="240"/>
    </row>
    <row r="17" spans="1:19" x14ac:dyDescent="0.25">
      <c r="A17" s="237" t="s">
        <v>1852</v>
      </c>
      <c r="B17" s="582" t="s">
        <v>2241</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s="248" customFormat="1" x14ac:dyDescent="0.25">
      <c r="A23" s="237"/>
      <c r="C23" s="249"/>
      <c r="D23" s="250"/>
      <c r="E23" s="233"/>
      <c r="F23" s="233"/>
      <c r="G23" s="233"/>
      <c r="L23" s="251"/>
      <c r="M23" s="252"/>
      <c r="N23" s="253"/>
      <c r="O23" s="252"/>
      <c r="P23" s="252"/>
      <c r="Q23" s="252"/>
      <c r="R23" s="254"/>
      <c r="S23" s="254"/>
    </row>
    <row r="24" spans="1:19" x14ac:dyDescent="0.25">
      <c r="A24" s="257" t="s">
        <v>1866</v>
      </c>
      <c r="B24" s="586" t="s">
        <v>2242</v>
      </c>
      <c r="C24" s="258">
        <v>3635</v>
      </c>
      <c r="D24" s="259">
        <f>GETPIVOTDATA("Net",'Orbit Dec 20-Mar 21'!$A$28,"VendorType","CARCOMPANY","Departure Date",DATE(2020,11,11),"Reason for Travel","Jenny Dixon Farewell And Work At Akld Office")+GETPIVOTDATA("Net",'Orbit Dec 20-Mar 21'!$A$28,"VendorType","OTHER","Departure Date",DATE(2020,11,11),"Reason for Travel","Jenny Dixon Farewell And Work At Akld Office")</f>
        <v>127.97</v>
      </c>
      <c r="E24" s="241">
        <v>44146</v>
      </c>
      <c r="F24" s="585" t="s">
        <v>134</v>
      </c>
      <c r="L24" s="245"/>
      <c r="M24" s="246"/>
      <c r="N24" s="239"/>
      <c r="O24" s="246"/>
      <c r="P24" s="246"/>
      <c r="Q24" s="246"/>
      <c r="R24" s="240"/>
      <c r="S24" s="240"/>
    </row>
    <row r="25" spans="1:19" x14ac:dyDescent="0.25">
      <c r="A25" s="237"/>
      <c r="B25" s="584"/>
      <c r="C25" s="249"/>
      <c r="D25" s="250"/>
      <c r="E25" s="241"/>
      <c r="F25" s="582"/>
      <c r="L25" s="245"/>
      <c r="M25" s="246"/>
      <c r="N25" s="239"/>
      <c r="O25" s="246"/>
      <c r="P25" s="246"/>
      <c r="Q25" s="246"/>
      <c r="R25" s="240"/>
      <c r="S25" s="240"/>
    </row>
    <row r="26" spans="1:19" x14ac:dyDescent="0.25">
      <c r="A26" s="237"/>
      <c r="B26" s="248"/>
      <c r="C26" s="249"/>
      <c r="D26" s="250"/>
      <c r="E26" s="241"/>
      <c r="L26" s="245"/>
      <c r="M26" s="246"/>
      <c r="N26" s="239"/>
      <c r="O26" s="246"/>
      <c r="P26" s="246"/>
      <c r="Q26" s="246"/>
      <c r="R26" s="240"/>
      <c r="S26" s="240"/>
    </row>
    <row r="27" spans="1:19" ht="24.75" x14ac:dyDescent="0.25">
      <c r="A27" s="237" t="s">
        <v>1385</v>
      </c>
      <c r="B27" s="475" t="s">
        <v>974</v>
      </c>
      <c r="C27" s="476" t="s">
        <v>973</v>
      </c>
      <c r="D27" s="259">
        <v>5.22</v>
      </c>
      <c r="E27" s="241">
        <v>44147</v>
      </c>
      <c r="F27" s="582" t="s">
        <v>134</v>
      </c>
      <c r="L27" s="245"/>
      <c r="M27" s="246"/>
      <c r="N27" s="239"/>
      <c r="O27" s="246"/>
      <c r="P27" s="246"/>
      <c r="Q27" s="246"/>
      <c r="R27" s="240"/>
      <c r="S27" s="240"/>
    </row>
    <row r="28" spans="1:19" ht="24.75" x14ac:dyDescent="0.25">
      <c r="A28" s="237"/>
      <c r="B28" s="475" t="s">
        <v>977</v>
      </c>
      <c r="C28" s="476" t="s">
        <v>976</v>
      </c>
      <c r="D28" s="259">
        <v>9.1300000000000008</v>
      </c>
      <c r="E28" s="241">
        <v>44146</v>
      </c>
      <c r="F28" s="582" t="s">
        <v>134</v>
      </c>
      <c r="L28" s="245"/>
      <c r="M28" s="246"/>
      <c r="N28" s="239"/>
      <c r="O28" s="246"/>
      <c r="P28" s="246"/>
      <c r="Q28" s="246"/>
      <c r="R28" s="240"/>
      <c r="S28" s="240"/>
    </row>
    <row r="29" spans="1:19" ht="24.75" x14ac:dyDescent="0.25">
      <c r="A29" s="237"/>
      <c r="B29" s="475" t="s">
        <v>977</v>
      </c>
      <c r="C29" s="476" t="s">
        <v>979</v>
      </c>
      <c r="D29" s="259">
        <v>44</v>
      </c>
      <c r="E29" s="588">
        <v>44147</v>
      </c>
      <c r="F29" s="582" t="s">
        <v>134</v>
      </c>
      <c r="L29" s="245"/>
      <c r="M29" s="246"/>
      <c r="N29" s="239"/>
      <c r="O29" s="246"/>
      <c r="P29" s="246"/>
      <c r="Q29" s="246"/>
      <c r="R29" s="240"/>
      <c r="S29" s="240"/>
    </row>
    <row r="32" spans="1:19" x14ac:dyDescent="0.25">
      <c r="A32" s="237" t="s">
        <v>2243</v>
      </c>
      <c r="B32" s="475" t="s">
        <v>831</v>
      </c>
      <c r="C32" s="476" t="s">
        <v>830</v>
      </c>
      <c r="D32" s="259">
        <v>98.26</v>
      </c>
      <c r="E32" s="241">
        <v>44147</v>
      </c>
      <c r="F32" s="585" t="s">
        <v>134</v>
      </c>
      <c r="L32" s="245"/>
      <c r="M32" s="246"/>
      <c r="N32" s="239"/>
      <c r="O32" s="246"/>
      <c r="P32" s="246"/>
      <c r="Q32" s="246"/>
      <c r="R32" s="240"/>
      <c r="S32" s="240"/>
    </row>
    <row r="33" spans="1:19" ht="24.75" x14ac:dyDescent="0.25">
      <c r="A33" s="237"/>
      <c r="B33" s="475" t="s">
        <v>834</v>
      </c>
      <c r="C33" s="476" t="s">
        <v>833</v>
      </c>
      <c r="D33" s="259">
        <v>16.43</v>
      </c>
      <c r="E33" s="241">
        <v>44148</v>
      </c>
      <c r="F33" s="585" t="s">
        <v>134</v>
      </c>
      <c r="L33" s="245"/>
      <c r="M33" s="246"/>
      <c r="N33" s="239"/>
      <c r="O33" s="246"/>
      <c r="P33" s="246"/>
      <c r="Q33" s="246"/>
      <c r="R33" s="240"/>
      <c r="S33" s="240"/>
    </row>
    <row r="34" spans="1:19" ht="24.75" x14ac:dyDescent="0.25">
      <c r="A34" s="237"/>
      <c r="B34" s="475" t="s">
        <v>2244</v>
      </c>
      <c r="C34" s="476" t="s">
        <v>911</v>
      </c>
      <c r="D34" s="259">
        <v>133.04</v>
      </c>
      <c r="E34" s="241">
        <v>44147</v>
      </c>
      <c r="F34" s="585" t="s">
        <v>134</v>
      </c>
      <c r="L34" s="245"/>
      <c r="M34" s="246"/>
      <c r="N34" s="239"/>
      <c r="O34" s="246"/>
      <c r="P34" s="246"/>
      <c r="Q34" s="246"/>
      <c r="R34" s="240"/>
      <c r="S34" s="240"/>
    </row>
    <row r="35" spans="1:19" ht="24.75" x14ac:dyDescent="0.25">
      <c r="A35" s="237"/>
      <c r="B35" s="475" t="s">
        <v>906</v>
      </c>
      <c r="C35" s="476" t="s">
        <v>905</v>
      </c>
      <c r="D35" s="259">
        <v>457.86</v>
      </c>
      <c r="E35" s="588">
        <v>44146</v>
      </c>
      <c r="F35" s="585" t="s">
        <v>134</v>
      </c>
      <c r="L35" s="245"/>
      <c r="M35" s="246"/>
      <c r="N35" s="239"/>
      <c r="O35" s="246"/>
      <c r="P35" s="246"/>
      <c r="Q35" s="246"/>
      <c r="R35" s="240"/>
      <c r="S35" s="240"/>
    </row>
    <row r="36" spans="1:19" x14ac:dyDescent="0.25">
      <c r="A36" s="237"/>
      <c r="B36" s="584"/>
      <c r="C36" s="249"/>
      <c r="D36" s="259"/>
      <c r="E36" s="241"/>
      <c r="F36" s="585" t="s">
        <v>134</v>
      </c>
      <c r="L36" s="245"/>
      <c r="M36" s="246"/>
      <c r="N36" s="239"/>
      <c r="O36" s="246"/>
      <c r="P36" s="246"/>
      <c r="Q36" s="246"/>
      <c r="R36" s="240"/>
      <c r="S36" s="240"/>
    </row>
    <row r="37" spans="1:19" x14ac:dyDescent="0.25">
      <c r="A37" s="237"/>
      <c r="B37" s="584"/>
      <c r="C37" s="249"/>
      <c r="D37" s="259"/>
      <c r="E37" s="241"/>
      <c r="F37" s="585"/>
      <c r="L37" s="245"/>
      <c r="M37" s="246"/>
      <c r="N37" s="239"/>
      <c r="O37" s="246"/>
      <c r="P37" s="246"/>
      <c r="Q37" s="246"/>
      <c r="R37" s="240"/>
      <c r="S37" s="240"/>
    </row>
    <row r="38" spans="1:19" x14ac:dyDescent="0.25">
      <c r="A38" s="237"/>
      <c r="B38" s="584"/>
      <c r="C38" s="249"/>
      <c r="D38" s="259"/>
      <c r="E38" s="241"/>
      <c r="F38" s="585"/>
      <c r="L38" s="245"/>
      <c r="M38" s="246"/>
      <c r="N38" s="239"/>
      <c r="O38" s="246"/>
      <c r="P38" s="246"/>
      <c r="Q38" s="246"/>
      <c r="R38" s="240"/>
      <c r="S38" s="240"/>
    </row>
    <row r="39" spans="1:19" ht="24.75" x14ac:dyDescent="0.25">
      <c r="A39" s="237" t="s">
        <v>1794</v>
      </c>
      <c r="B39" s="475" t="s">
        <v>942</v>
      </c>
      <c r="C39" s="476" t="s">
        <v>941</v>
      </c>
      <c r="D39" s="259">
        <v>34.96</v>
      </c>
      <c r="E39" s="241">
        <v>44146</v>
      </c>
      <c r="F39" s="582" t="s">
        <v>137</v>
      </c>
      <c r="L39" s="245"/>
      <c r="M39" s="246"/>
      <c r="N39" s="239"/>
      <c r="O39" s="246"/>
      <c r="P39" s="246"/>
      <c r="Q39" s="246"/>
      <c r="R39" s="240"/>
      <c r="S39" s="240"/>
    </row>
    <row r="40" spans="1:19" ht="24.75" x14ac:dyDescent="0.25">
      <c r="A40" s="237"/>
      <c r="B40" s="475" t="s">
        <v>945</v>
      </c>
      <c r="C40" s="477" t="s">
        <v>944</v>
      </c>
      <c r="D40" s="259">
        <v>44.35</v>
      </c>
      <c r="E40" s="241">
        <v>44148</v>
      </c>
      <c r="F40" s="582" t="s">
        <v>137</v>
      </c>
      <c r="G40" s="582"/>
      <c r="L40" s="245"/>
      <c r="M40" s="246"/>
      <c r="N40" s="239"/>
      <c r="O40" s="246"/>
      <c r="P40" s="246"/>
      <c r="Q40" s="246"/>
      <c r="R40" s="240"/>
      <c r="S40" s="240"/>
    </row>
    <row r="41" spans="1:19" x14ac:dyDescent="0.25">
      <c r="D41" s="250"/>
      <c r="E41" s="241"/>
      <c r="L41" s="245"/>
      <c r="M41" s="246"/>
      <c r="N41" s="239"/>
      <c r="O41" s="246"/>
      <c r="P41" s="246"/>
      <c r="Q41" s="246"/>
      <c r="R41" s="240"/>
      <c r="S41" s="240"/>
    </row>
    <row r="42" spans="1:19" x14ac:dyDescent="0.25">
      <c r="D42" s="250"/>
      <c r="E42" s="241"/>
      <c r="L42" s="245"/>
      <c r="M42" s="246"/>
      <c r="N42" s="239"/>
      <c r="O42" s="246"/>
      <c r="P42" s="246"/>
      <c r="Q42" s="246"/>
      <c r="R42" s="240"/>
      <c r="S42" s="240"/>
    </row>
    <row r="43" spans="1:19" ht="15.75" thickBot="1" x14ac:dyDescent="0.3">
      <c r="A43" s="237" t="s">
        <v>1873</v>
      </c>
      <c r="B43" s="237"/>
      <c r="D43" s="260">
        <f>SUM(D23:D42)</f>
        <v>971.22</v>
      </c>
      <c r="E43" s="241"/>
      <c r="L43" s="245"/>
      <c r="M43" s="246"/>
      <c r="N43" s="239"/>
      <c r="O43" s="246"/>
      <c r="P43" s="246"/>
      <c r="Q43" s="246"/>
      <c r="R43" s="240"/>
      <c r="S43" s="240"/>
    </row>
    <row r="44" spans="1:19" ht="15.75" thickTop="1" x14ac:dyDescent="0.25">
      <c r="D44" s="250"/>
      <c r="E44" s="241"/>
      <c r="L44" s="245"/>
      <c r="M44" s="246"/>
      <c r="N44" s="239"/>
      <c r="O44" s="246"/>
      <c r="P44" s="246"/>
      <c r="Q44" s="246"/>
      <c r="R44" s="240"/>
      <c r="S44" s="240"/>
    </row>
    <row r="45" spans="1:19" x14ac:dyDescent="0.25">
      <c r="E45" s="241"/>
      <c r="L45" s="245"/>
      <c r="M45" s="246"/>
      <c r="N45" s="239"/>
      <c r="O45" s="246"/>
      <c r="P45" s="246"/>
      <c r="Q45" s="246"/>
      <c r="R45" s="240"/>
      <c r="S45" s="240"/>
    </row>
    <row r="46" spans="1:19" x14ac:dyDescent="0.25">
      <c r="L46" s="245"/>
      <c r="M46" s="246"/>
      <c r="N46" s="239"/>
      <c r="O46" s="246"/>
      <c r="P46" s="246"/>
      <c r="Q46" s="246"/>
      <c r="R46" s="240"/>
      <c r="S46" s="240"/>
    </row>
    <row r="48" spans="1:19" x14ac:dyDescent="0.25">
      <c r="A48" s="261"/>
      <c r="C48" s="262"/>
      <c r="D48" s="261"/>
    </row>
    <row r="49" spans="1:19" x14ac:dyDescent="0.25">
      <c r="A49" s="233" t="s">
        <v>1874</v>
      </c>
      <c r="C49" s="233" t="s">
        <v>1102</v>
      </c>
      <c r="L49" s="245"/>
      <c r="M49" s="246"/>
      <c r="N49" s="239"/>
      <c r="O49" s="246"/>
      <c r="P49" s="246"/>
      <c r="Q49" s="246"/>
      <c r="R49" s="240"/>
      <c r="S49" s="240"/>
    </row>
    <row r="50" spans="1:19" x14ac:dyDescent="0.25">
      <c r="L50" s="245"/>
      <c r="M50" s="246"/>
      <c r="N50" s="239"/>
      <c r="O50" s="246"/>
      <c r="P50" s="246"/>
      <c r="Q50" s="246"/>
      <c r="R50" s="240"/>
      <c r="S50" s="240"/>
    </row>
    <row r="51" spans="1:19" x14ac:dyDescent="0.25">
      <c r="L51" s="245"/>
      <c r="M51" s="246"/>
      <c r="N51" s="239"/>
      <c r="O51" s="246"/>
      <c r="P51" s="246"/>
      <c r="Q51" s="246"/>
      <c r="R51" s="240"/>
      <c r="S51" s="240"/>
    </row>
    <row r="52" spans="1:19" x14ac:dyDescent="0.25">
      <c r="A52" s="261"/>
      <c r="C52" s="261"/>
      <c r="D52" s="261"/>
      <c r="L52" s="245"/>
      <c r="M52" s="246"/>
      <c r="N52" s="239"/>
      <c r="O52" s="246"/>
      <c r="P52" s="246"/>
      <c r="Q52" s="246"/>
      <c r="R52" s="240"/>
      <c r="S52" s="240"/>
    </row>
    <row r="53" spans="1:19" ht="14.25" customHeight="1" x14ac:dyDescent="0.25">
      <c r="A53" s="233" t="s">
        <v>1875</v>
      </c>
      <c r="C53" s="233" t="s">
        <v>1102</v>
      </c>
      <c r="L53" s="245"/>
      <c r="M53" s="246"/>
      <c r="N53" s="239"/>
      <c r="O53" s="246"/>
      <c r="P53" s="246"/>
      <c r="Q53" s="246"/>
      <c r="R53" s="240"/>
      <c r="S53"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DADE-E580-4458-B0C0-233798A64B72}">
  <sheetPr>
    <tabColor theme="9"/>
    <pageSetUpPr fitToPage="1"/>
  </sheetPr>
  <dimension ref="A8:S57"/>
  <sheetViews>
    <sheetView zoomScaleNormal="100" workbookViewId="0">
      <selection activeCell="A11" sqref="A11"/>
    </sheetView>
  </sheetViews>
  <sheetFormatPr defaultColWidth="9.140625" defaultRowHeight="15" x14ac:dyDescent="0.25"/>
  <cols>
    <col min="1" max="1" width="23.28515625" style="233" customWidth="1"/>
    <col min="2" max="2" width="46"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
        <v>2245</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v>44259</v>
      </c>
      <c r="C15" s="238"/>
      <c r="M15" s="239"/>
      <c r="N15" s="239"/>
    </row>
    <row r="16" spans="1:19" x14ac:dyDescent="0.25">
      <c r="A16" s="237" t="s">
        <v>1851</v>
      </c>
      <c r="B16" s="582" t="s">
        <v>2246</v>
      </c>
      <c r="M16" s="239"/>
      <c r="N16" s="239"/>
      <c r="O16" s="239"/>
      <c r="P16" s="239"/>
      <c r="Q16" s="240"/>
      <c r="R16" s="239"/>
      <c r="S16" s="240"/>
    </row>
    <row r="17" spans="1:19" x14ac:dyDescent="0.25">
      <c r="A17" s="237" t="s">
        <v>1852</v>
      </c>
      <c r="B17" s="582" t="s">
        <v>2247</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s="248" customFormat="1" x14ac:dyDescent="0.25">
      <c r="A23" s="237"/>
      <c r="C23" s="249"/>
      <c r="D23" s="250"/>
      <c r="E23" s="233"/>
      <c r="F23" s="233"/>
      <c r="G23" s="233"/>
      <c r="L23" s="251"/>
      <c r="M23" s="252"/>
      <c r="N23" s="253"/>
      <c r="O23" s="252"/>
      <c r="P23" s="252"/>
      <c r="Q23" s="252"/>
      <c r="R23" s="254"/>
      <c r="S23" s="254"/>
    </row>
    <row r="24" spans="1:19" s="248" customFormat="1" x14ac:dyDescent="0.25">
      <c r="A24" s="237" t="s">
        <v>1859</v>
      </c>
      <c r="B24" s="584" t="s">
        <v>2248</v>
      </c>
      <c r="C24" s="590" t="s">
        <v>2249</v>
      </c>
      <c r="D24" s="250">
        <f>GETPIVOTDATA("Net",'Orbit Dec 20-Mar 21'!$A$28,"VendorType","TKT","Departure Date",DATE(2021,3,4),"Reason for Travel","Visit To Te Pukenga And Waikato University")</f>
        <v>512.20000000000005</v>
      </c>
      <c r="E24" s="241">
        <v>44259</v>
      </c>
      <c r="F24" s="582" t="s">
        <v>134</v>
      </c>
      <c r="G24" s="233"/>
      <c r="L24" s="251"/>
      <c r="M24" s="252"/>
      <c r="N24" s="253"/>
      <c r="O24" s="252"/>
      <c r="P24" s="252"/>
      <c r="Q24" s="252"/>
      <c r="R24" s="254"/>
      <c r="S24" s="254"/>
    </row>
    <row r="25" spans="1:19" s="248" customFormat="1" x14ac:dyDescent="0.25">
      <c r="A25" s="237"/>
      <c r="C25" s="590" t="s">
        <v>2250</v>
      </c>
      <c r="D25" s="250">
        <f>GETPIVOTDATA("Net",'Orbit Dec 20-Mar 21'!$A$28,"VendorType","OTHER","Departure Date",DATE(2021,3,4),"Reason for Travel","Visit To Te Pukenga And Waikato University")</f>
        <v>5.85</v>
      </c>
      <c r="E25" s="233"/>
      <c r="F25" s="233"/>
      <c r="G25" s="233"/>
      <c r="L25" s="251"/>
      <c r="M25" s="252"/>
      <c r="N25" s="253"/>
      <c r="O25" s="252"/>
      <c r="P25" s="252"/>
      <c r="Q25" s="252"/>
      <c r="R25" s="254"/>
      <c r="S25" s="254"/>
    </row>
    <row r="26" spans="1:19" s="248" customFormat="1" x14ac:dyDescent="0.25">
      <c r="A26" s="237"/>
      <c r="C26" s="249"/>
      <c r="D26" s="250"/>
      <c r="E26" s="233"/>
      <c r="F26" s="233"/>
      <c r="G26" s="233"/>
      <c r="L26" s="251"/>
      <c r="M26" s="252"/>
      <c r="N26" s="253"/>
      <c r="O26" s="252"/>
      <c r="P26" s="252"/>
      <c r="Q26" s="252"/>
      <c r="R26" s="254"/>
      <c r="S26" s="254"/>
    </row>
    <row r="27" spans="1:19" s="248" customFormat="1" x14ac:dyDescent="0.25">
      <c r="A27" s="237"/>
      <c r="C27" s="249"/>
      <c r="D27" s="250"/>
      <c r="E27" s="233"/>
      <c r="F27" s="233"/>
      <c r="G27" s="233"/>
      <c r="L27" s="251"/>
      <c r="M27" s="252"/>
      <c r="N27" s="253"/>
      <c r="O27" s="252"/>
      <c r="P27" s="252"/>
      <c r="Q27" s="252"/>
      <c r="R27" s="254"/>
      <c r="S27" s="254"/>
    </row>
    <row r="28" spans="1:19" x14ac:dyDescent="0.25">
      <c r="A28" s="257" t="s">
        <v>1866</v>
      </c>
      <c r="B28" s="586" t="s">
        <v>2251</v>
      </c>
      <c r="C28" s="258">
        <v>3635</v>
      </c>
      <c r="D28" s="259">
        <f>GETPIVOTDATA("Net",'Orbit Dec 20-Mar 21'!$A$67,"VendorType","CARCOMPANY","Departure Date",DATE(2021,3,4),"Reason for Travel","Visit To Te Pukenga And Waikato University")+GETPIVOTDATA("Net",'Orbit Dec 20-Mar 21'!$A$67,"VendorType","OTHER","Departure Date",DATE(2021,3,4),"Reason for Travel","Visit To Te Pukenga And Waikato University")</f>
        <v>77.06</v>
      </c>
      <c r="E28" s="241">
        <v>44259</v>
      </c>
      <c r="F28" s="585" t="s">
        <v>134</v>
      </c>
      <c r="L28" s="245"/>
      <c r="M28" s="246"/>
      <c r="N28" s="239"/>
      <c r="O28" s="246"/>
      <c r="P28" s="246"/>
      <c r="Q28" s="246"/>
      <c r="R28" s="240"/>
      <c r="S28" s="240"/>
    </row>
    <row r="29" spans="1:19" x14ac:dyDescent="0.25">
      <c r="A29" s="237"/>
      <c r="B29" s="584"/>
      <c r="C29" s="249"/>
      <c r="D29" s="250"/>
      <c r="E29" s="241"/>
      <c r="F29" s="582"/>
      <c r="L29" s="245"/>
      <c r="M29" s="246"/>
      <c r="N29" s="239"/>
      <c r="O29" s="246"/>
      <c r="P29" s="246"/>
      <c r="Q29" s="246"/>
      <c r="R29" s="240"/>
      <c r="S29" s="240"/>
    </row>
    <row r="30" spans="1:19" x14ac:dyDescent="0.25">
      <c r="A30" s="237"/>
      <c r="B30" s="248"/>
      <c r="C30" s="249"/>
      <c r="D30" s="250"/>
      <c r="E30" s="241"/>
      <c r="L30" s="245"/>
      <c r="M30" s="246"/>
      <c r="N30" s="239"/>
      <c r="O30" s="246"/>
      <c r="P30" s="246"/>
      <c r="Q30" s="246"/>
      <c r="R30" s="240"/>
      <c r="S30" s="240"/>
    </row>
    <row r="31" spans="1:19" ht="24.75" x14ac:dyDescent="0.25">
      <c r="A31" s="237" t="s">
        <v>1385</v>
      </c>
      <c r="B31" s="475" t="s">
        <v>981</v>
      </c>
      <c r="C31" s="476" t="s">
        <v>980</v>
      </c>
      <c r="D31" s="250">
        <v>39.130000000000003</v>
      </c>
      <c r="E31" s="241">
        <v>44259</v>
      </c>
      <c r="F31" s="585" t="s">
        <v>137</v>
      </c>
      <c r="L31" s="245"/>
      <c r="M31" s="246"/>
      <c r="N31" s="239"/>
      <c r="O31" s="246"/>
      <c r="P31" s="246"/>
      <c r="Q31" s="246"/>
      <c r="R31" s="240"/>
      <c r="S31" s="240"/>
    </row>
    <row r="32" spans="1:19" x14ac:dyDescent="0.25">
      <c r="A32" s="237"/>
      <c r="B32" s="584"/>
      <c r="C32" s="249"/>
      <c r="D32" s="250"/>
      <c r="E32" s="241"/>
      <c r="F32" s="585"/>
      <c r="L32" s="245"/>
      <c r="M32" s="246"/>
      <c r="N32" s="239"/>
      <c r="O32" s="246"/>
      <c r="P32" s="246"/>
      <c r="Q32" s="246"/>
      <c r="R32" s="240"/>
      <c r="S32" s="240"/>
    </row>
    <row r="33" spans="1:19" x14ac:dyDescent="0.25">
      <c r="A33" s="237"/>
      <c r="B33" s="584"/>
      <c r="C33" s="249"/>
      <c r="D33" s="250"/>
      <c r="E33" s="588"/>
      <c r="F33" s="585"/>
      <c r="L33" s="245"/>
      <c r="M33" s="246"/>
      <c r="N33" s="239"/>
      <c r="O33" s="246"/>
      <c r="P33" s="246"/>
      <c r="Q33" s="246"/>
      <c r="R33" s="240"/>
      <c r="S33" s="240"/>
    </row>
    <row r="36" spans="1:19" ht="24.75" x14ac:dyDescent="0.25">
      <c r="A36" s="237" t="s">
        <v>2243</v>
      </c>
      <c r="B36" s="475" t="s">
        <v>930</v>
      </c>
      <c r="C36" s="476" t="s">
        <v>929</v>
      </c>
      <c r="D36" s="259">
        <v>25.04</v>
      </c>
      <c r="E36" s="241">
        <v>44259</v>
      </c>
      <c r="F36" s="585" t="s">
        <v>2142</v>
      </c>
      <c r="L36" s="245"/>
      <c r="M36" s="246"/>
      <c r="N36" s="239"/>
      <c r="O36" s="246"/>
      <c r="P36" s="246"/>
      <c r="Q36" s="246"/>
      <c r="R36" s="240"/>
      <c r="S36" s="240"/>
    </row>
    <row r="37" spans="1:19" ht="24.75" x14ac:dyDescent="0.25">
      <c r="A37" s="237"/>
      <c r="B37" s="475" t="s">
        <v>933</v>
      </c>
      <c r="C37" s="476" t="s">
        <v>932</v>
      </c>
      <c r="D37" s="259">
        <v>50.26</v>
      </c>
      <c r="E37" s="241">
        <v>44259</v>
      </c>
      <c r="F37" s="585" t="s">
        <v>2142</v>
      </c>
      <c r="L37" s="245"/>
      <c r="M37" s="246"/>
      <c r="N37" s="239"/>
      <c r="O37" s="246"/>
      <c r="P37" s="246"/>
      <c r="Q37" s="246"/>
      <c r="R37" s="240"/>
      <c r="S37" s="240"/>
    </row>
    <row r="38" spans="1:19" x14ac:dyDescent="0.25">
      <c r="A38" s="237"/>
      <c r="B38" s="475"/>
      <c r="C38" s="476"/>
      <c r="D38" s="259"/>
      <c r="E38" s="241"/>
      <c r="F38" s="585"/>
      <c r="L38" s="245"/>
      <c r="M38" s="246"/>
      <c r="N38" s="239"/>
      <c r="O38" s="246"/>
      <c r="P38" s="246"/>
      <c r="Q38" s="246"/>
      <c r="R38" s="240"/>
      <c r="S38" s="240"/>
    </row>
    <row r="39" spans="1:19" x14ac:dyDescent="0.25">
      <c r="A39" s="237"/>
      <c r="B39" s="475"/>
      <c r="C39" s="476"/>
      <c r="D39" s="259"/>
      <c r="E39" s="588"/>
      <c r="F39" s="585"/>
      <c r="L39" s="245"/>
      <c r="M39" s="246"/>
      <c r="N39" s="239"/>
      <c r="O39" s="246"/>
      <c r="P39" s="246"/>
      <c r="Q39" s="246"/>
      <c r="R39" s="240"/>
      <c r="S39" s="240"/>
    </row>
    <row r="40" spans="1:19" x14ac:dyDescent="0.25">
      <c r="A40" s="237"/>
      <c r="B40" s="584"/>
      <c r="C40" s="249"/>
      <c r="D40" s="259"/>
      <c r="E40" s="241"/>
      <c r="F40" s="585"/>
      <c r="L40" s="245"/>
      <c r="M40" s="246"/>
      <c r="N40" s="239"/>
      <c r="O40" s="246"/>
      <c r="P40" s="246"/>
      <c r="Q40" s="246"/>
      <c r="R40" s="240"/>
      <c r="S40" s="240"/>
    </row>
    <row r="41" spans="1:19" x14ac:dyDescent="0.25">
      <c r="A41" s="237"/>
      <c r="B41" s="584"/>
      <c r="C41" s="249"/>
      <c r="D41" s="259"/>
      <c r="E41" s="241"/>
      <c r="F41" s="585"/>
      <c r="L41" s="245"/>
      <c r="M41" s="246"/>
      <c r="N41" s="239"/>
      <c r="O41" s="246"/>
      <c r="P41" s="246"/>
      <c r="Q41" s="246"/>
      <c r="R41" s="240"/>
      <c r="S41" s="240"/>
    </row>
    <row r="42" spans="1:19" x14ac:dyDescent="0.25">
      <c r="A42" s="237"/>
      <c r="B42" s="584"/>
      <c r="C42" s="249"/>
      <c r="D42" s="259"/>
      <c r="E42" s="241"/>
      <c r="F42" s="585"/>
      <c r="L42" s="245"/>
      <c r="M42" s="246"/>
      <c r="N42" s="239"/>
      <c r="O42" s="246"/>
      <c r="P42" s="246"/>
      <c r="Q42" s="246"/>
      <c r="R42" s="240"/>
      <c r="S42" s="240"/>
    </row>
    <row r="43" spans="1:19" x14ac:dyDescent="0.25">
      <c r="A43" s="237" t="s">
        <v>1794</v>
      </c>
      <c r="B43" s="475"/>
      <c r="C43" s="476"/>
      <c r="D43" s="259"/>
      <c r="E43" s="241"/>
      <c r="F43" s="585"/>
      <c r="L43" s="245"/>
      <c r="M43" s="246"/>
      <c r="N43" s="239"/>
      <c r="O43" s="246"/>
      <c r="P43" s="246"/>
      <c r="Q43" s="246"/>
      <c r="R43" s="240"/>
      <c r="S43" s="240"/>
    </row>
    <row r="44" spans="1:19" x14ac:dyDescent="0.25">
      <c r="A44" s="237"/>
      <c r="B44" s="475"/>
      <c r="C44" s="477"/>
      <c r="D44" s="259"/>
      <c r="E44" s="241"/>
      <c r="F44" s="582"/>
      <c r="G44" s="582"/>
      <c r="L44" s="245"/>
      <c r="M44" s="246"/>
      <c r="N44" s="239"/>
      <c r="O44" s="246"/>
      <c r="P44" s="246"/>
      <c r="Q44" s="246"/>
      <c r="R44" s="240"/>
      <c r="S44" s="240"/>
    </row>
    <row r="45" spans="1:19" x14ac:dyDescent="0.25">
      <c r="D45" s="250"/>
      <c r="E45" s="241"/>
      <c r="L45" s="245"/>
      <c r="M45" s="246"/>
      <c r="N45" s="239"/>
      <c r="O45" s="246"/>
      <c r="P45" s="246"/>
      <c r="Q45" s="246"/>
      <c r="R45" s="240"/>
      <c r="S45" s="240"/>
    </row>
    <row r="46" spans="1:19" x14ac:dyDescent="0.25">
      <c r="D46" s="250"/>
      <c r="E46" s="241"/>
      <c r="L46" s="245"/>
      <c r="M46" s="246"/>
      <c r="N46" s="239"/>
      <c r="O46" s="246"/>
      <c r="P46" s="246"/>
      <c r="Q46" s="246"/>
      <c r="R46" s="240"/>
      <c r="S46" s="240"/>
    </row>
    <row r="47" spans="1:19" ht="15.75" thickBot="1" x14ac:dyDescent="0.3">
      <c r="A47" s="237" t="s">
        <v>1873</v>
      </c>
      <c r="B47" s="237"/>
      <c r="D47" s="260">
        <f>SUM(D23:D46)</f>
        <v>709.54000000000008</v>
      </c>
      <c r="E47" s="241"/>
      <c r="L47" s="245"/>
      <c r="M47" s="246"/>
      <c r="N47" s="239"/>
      <c r="O47" s="246"/>
      <c r="P47" s="246"/>
      <c r="Q47" s="246"/>
      <c r="R47" s="240"/>
      <c r="S47" s="240"/>
    </row>
    <row r="48" spans="1:19" ht="15.75" thickTop="1" x14ac:dyDescent="0.25">
      <c r="D48" s="250"/>
      <c r="E48" s="241"/>
      <c r="L48" s="245"/>
      <c r="M48" s="246"/>
      <c r="N48" s="239"/>
      <c r="O48" s="246"/>
      <c r="P48" s="246"/>
      <c r="Q48" s="246"/>
      <c r="R48" s="240"/>
      <c r="S48" s="240"/>
    </row>
    <row r="49" spans="1:19" x14ac:dyDescent="0.25">
      <c r="E49" s="241"/>
      <c r="L49" s="245"/>
      <c r="M49" s="246"/>
      <c r="N49" s="239"/>
      <c r="O49" s="246"/>
      <c r="P49" s="246"/>
      <c r="Q49" s="246"/>
      <c r="R49" s="240"/>
      <c r="S49" s="240"/>
    </row>
    <row r="50" spans="1:19" x14ac:dyDescent="0.25">
      <c r="L50" s="245"/>
      <c r="M50" s="246"/>
      <c r="N50" s="239"/>
      <c r="O50" s="246"/>
      <c r="P50" s="246"/>
      <c r="Q50" s="246"/>
      <c r="R50" s="240"/>
      <c r="S50" s="240"/>
    </row>
    <row r="52" spans="1:19" x14ac:dyDescent="0.25">
      <c r="A52" s="261"/>
      <c r="C52" s="262"/>
      <c r="D52" s="261"/>
    </row>
    <row r="53" spans="1:19" x14ac:dyDescent="0.25">
      <c r="A53" s="233" t="s">
        <v>1874</v>
      </c>
      <c r="C53" s="233" t="s">
        <v>1102</v>
      </c>
      <c r="L53" s="245"/>
      <c r="M53" s="246"/>
      <c r="N53" s="239"/>
      <c r="O53" s="246"/>
      <c r="P53" s="246"/>
      <c r="Q53" s="246"/>
      <c r="R53" s="240"/>
      <c r="S53" s="240"/>
    </row>
    <row r="54" spans="1:19" x14ac:dyDescent="0.25">
      <c r="L54" s="245"/>
      <c r="M54" s="246"/>
      <c r="N54" s="239"/>
      <c r="O54" s="246"/>
      <c r="P54" s="246"/>
      <c r="Q54" s="246"/>
      <c r="R54" s="240"/>
      <c r="S54" s="240"/>
    </row>
    <row r="55" spans="1:19" x14ac:dyDescent="0.25">
      <c r="L55" s="245"/>
      <c r="M55" s="246"/>
      <c r="N55" s="239"/>
      <c r="O55" s="246"/>
      <c r="P55" s="246"/>
      <c r="Q55" s="246"/>
      <c r="R55" s="240"/>
      <c r="S55" s="240"/>
    </row>
    <row r="56" spans="1:19" x14ac:dyDescent="0.25">
      <c r="A56" s="261"/>
      <c r="C56" s="261"/>
      <c r="D56" s="261"/>
      <c r="L56" s="245"/>
      <c r="M56" s="246"/>
      <c r="N56" s="239"/>
      <c r="O56" s="246"/>
      <c r="P56" s="246"/>
      <c r="Q56" s="246"/>
      <c r="R56" s="240"/>
      <c r="S56" s="240"/>
    </row>
    <row r="57" spans="1:19" ht="14.25" customHeight="1" x14ac:dyDescent="0.25">
      <c r="A57" s="233" t="s">
        <v>1875</v>
      </c>
      <c r="C57" s="233" t="s">
        <v>1102</v>
      </c>
      <c r="L57" s="245"/>
      <c r="M57" s="246"/>
      <c r="N57" s="239"/>
      <c r="O57" s="246"/>
      <c r="P57" s="246"/>
      <c r="Q57" s="246"/>
      <c r="R57" s="240"/>
      <c r="S57"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3D36-7FCD-4295-A6CF-342CA821FB1B}">
  <sheetPr>
    <tabColor theme="9"/>
    <pageSetUpPr fitToPage="1"/>
  </sheetPr>
  <dimension ref="A8:S57"/>
  <sheetViews>
    <sheetView topLeftCell="A19" zoomScaleNormal="100" workbookViewId="0">
      <selection activeCell="A10" sqref="A10:C10"/>
    </sheetView>
  </sheetViews>
  <sheetFormatPr defaultColWidth="9.140625" defaultRowHeight="15" x14ac:dyDescent="0.25"/>
  <cols>
    <col min="1" max="1" width="23.28515625" style="233" customWidth="1"/>
    <col min="2" max="2" width="46" style="233" customWidth="1"/>
    <col min="3" max="3" width="16.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
        <v>2252</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v>44454</v>
      </c>
      <c r="C15" s="238"/>
      <c r="M15" s="239"/>
      <c r="N15" s="239"/>
    </row>
    <row r="16" spans="1:19" x14ac:dyDescent="0.25">
      <c r="A16" s="237" t="s">
        <v>1851</v>
      </c>
      <c r="B16" s="582" t="s">
        <v>134</v>
      </c>
      <c r="M16" s="239"/>
      <c r="N16" s="239"/>
      <c r="O16" s="239"/>
      <c r="P16" s="239"/>
      <c r="Q16" s="240"/>
      <c r="R16" s="239"/>
      <c r="S16" s="240"/>
    </row>
    <row r="17" spans="1:19" x14ac:dyDescent="0.25">
      <c r="A17" s="237" t="s">
        <v>1852</v>
      </c>
      <c r="B17" s="582" t="s">
        <v>2253</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s="248" customFormat="1" x14ac:dyDescent="0.25">
      <c r="A23" s="237"/>
      <c r="C23" s="249"/>
      <c r="D23" s="250"/>
      <c r="E23" s="233"/>
      <c r="F23" s="233"/>
      <c r="G23" s="233"/>
      <c r="L23" s="251"/>
      <c r="M23" s="252"/>
      <c r="N23" s="253"/>
      <c r="O23" s="252"/>
      <c r="P23" s="252"/>
      <c r="Q23" s="252"/>
      <c r="R23" s="254"/>
      <c r="S23" s="254"/>
    </row>
    <row r="24" spans="1:19" s="248" customFormat="1" x14ac:dyDescent="0.25">
      <c r="A24" s="237" t="s">
        <v>1859</v>
      </c>
      <c r="B24" s="584" t="s">
        <v>2254</v>
      </c>
      <c r="C24" s="590" t="s">
        <v>2255</v>
      </c>
      <c r="D24" s="250">
        <f>GETPIVOTDATA("Net",'Orbit Jul-Nov 2021'!$A$28,"VendorType","TKT","Departure Date",DATE(2021,9,15),"Reason for Travel","Chc Conference And Meetings In Akld")+'Orbit Dec-Mar 22'!L13</f>
        <v>0</v>
      </c>
      <c r="E24" s="241">
        <v>44454</v>
      </c>
      <c r="F24" s="582" t="s">
        <v>134</v>
      </c>
      <c r="G24" s="233"/>
      <c r="L24" s="251"/>
      <c r="M24" s="252"/>
      <c r="N24" s="253"/>
      <c r="O24" s="252"/>
      <c r="P24" s="252"/>
      <c r="Q24" s="252"/>
      <c r="R24" s="254"/>
      <c r="S24" s="254"/>
    </row>
    <row r="25" spans="1:19" s="248" customFormat="1" x14ac:dyDescent="0.25">
      <c r="A25" s="237"/>
      <c r="C25" s="590" t="s">
        <v>2250</v>
      </c>
      <c r="D25" s="250">
        <f>GETPIVOTDATA("Net",'Orbit Jul-Nov 2021'!$A$28,"VendorType","OTHER","Departure Date",DATE(2021,9,15),"Reason for Travel","Chc Conference And Meetings In Akld")</f>
        <v>26.85</v>
      </c>
      <c r="E25" s="233"/>
      <c r="F25" s="233"/>
      <c r="G25" s="233"/>
      <c r="L25" s="251"/>
      <c r="M25" s="252"/>
      <c r="N25" s="253"/>
      <c r="O25" s="252"/>
      <c r="P25" s="252"/>
      <c r="Q25" s="252"/>
      <c r="R25" s="254"/>
      <c r="S25" s="254"/>
    </row>
    <row r="26" spans="1:19" s="248" customFormat="1" x14ac:dyDescent="0.25">
      <c r="A26" s="237"/>
      <c r="B26" s="584" t="s">
        <v>2256</v>
      </c>
      <c r="C26" s="590" t="s">
        <v>2257</v>
      </c>
      <c r="D26" s="374">
        <f>'Orbit Dec-Mar 22'!L12</f>
        <v>10</v>
      </c>
      <c r="E26" s="233"/>
      <c r="F26" s="233"/>
      <c r="G26" s="233"/>
      <c r="L26" s="251"/>
      <c r="M26" s="252"/>
      <c r="N26" s="253"/>
      <c r="O26" s="252"/>
      <c r="P26" s="252"/>
      <c r="Q26" s="252"/>
      <c r="R26" s="254"/>
      <c r="S26" s="254"/>
    </row>
    <row r="27" spans="1:19" s="248" customFormat="1" x14ac:dyDescent="0.25">
      <c r="A27" s="237"/>
      <c r="C27" s="249"/>
      <c r="D27" s="250"/>
      <c r="E27" s="233"/>
      <c r="F27" s="233"/>
      <c r="G27" s="233"/>
      <c r="L27" s="251"/>
      <c r="M27" s="252"/>
      <c r="N27" s="253"/>
      <c r="O27" s="252"/>
      <c r="P27" s="252"/>
      <c r="Q27" s="252"/>
      <c r="R27" s="254"/>
      <c r="S27" s="254"/>
    </row>
    <row r="28" spans="1:19" x14ac:dyDescent="0.25">
      <c r="A28" s="257" t="s">
        <v>1866</v>
      </c>
      <c r="B28" s="584"/>
      <c r="C28" s="591"/>
      <c r="D28" s="259"/>
      <c r="E28" s="241"/>
      <c r="F28" s="585"/>
      <c r="L28" s="245"/>
      <c r="M28" s="246"/>
      <c r="N28" s="239"/>
      <c r="O28" s="246"/>
      <c r="P28" s="246"/>
      <c r="Q28" s="246"/>
      <c r="R28" s="240"/>
      <c r="S28" s="240"/>
    </row>
    <row r="29" spans="1:19" x14ac:dyDescent="0.25">
      <c r="A29" s="237"/>
      <c r="B29" s="584"/>
      <c r="C29" s="249"/>
      <c r="D29" s="250"/>
      <c r="E29" s="241"/>
      <c r="F29" s="582"/>
      <c r="L29" s="245"/>
      <c r="M29" s="246"/>
      <c r="N29" s="239"/>
      <c r="O29" s="246"/>
      <c r="P29" s="246"/>
      <c r="Q29" s="246"/>
      <c r="R29" s="240"/>
      <c r="S29" s="240"/>
    </row>
    <row r="30" spans="1:19" x14ac:dyDescent="0.25">
      <c r="A30" s="237"/>
      <c r="B30" s="475"/>
      <c r="C30" s="476"/>
      <c r="D30" s="250"/>
      <c r="E30" s="241"/>
      <c r="L30" s="245"/>
      <c r="M30" s="246"/>
      <c r="N30" s="239"/>
      <c r="O30" s="246"/>
      <c r="P30" s="246"/>
      <c r="Q30" s="246"/>
      <c r="R30" s="240"/>
      <c r="S30" s="240"/>
    </row>
    <row r="31" spans="1:19" x14ac:dyDescent="0.25">
      <c r="A31" s="237" t="s">
        <v>1385</v>
      </c>
      <c r="B31" s="475"/>
      <c r="C31" s="476"/>
      <c r="D31" s="250"/>
      <c r="E31" s="241"/>
      <c r="F31" s="585"/>
      <c r="L31" s="245"/>
      <c r="M31" s="246"/>
      <c r="N31" s="239"/>
      <c r="O31" s="246"/>
      <c r="P31" s="246"/>
      <c r="Q31" s="246"/>
      <c r="R31" s="240"/>
      <c r="S31" s="240"/>
    </row>
    <row r="32" spans="1:19" x14ac:dyDescent="0.25">
      <c r="A32" s="237"/>
      <c r="B32" s="475"/>
      <c r="C32" s="476"/>
      <c r="D32" s="250"/>
      <c r="E32" s="241"/>
      <c r="F32" s="585"/>
      <c r="L32" s="245"/>
      <c r="M32" s="246"/>
      <c r="N32" s="239"/>
      <c r="O32" s="246"/>
      <c r="P32" s="246"/>
      <c r="Q32" s="246"/>
      <c r="R32" s="240"/>
      <c r="S32" s="240"/>
    </row>
    <row r="33" spans="1:19" x14ac:dyDescent="0.25">
      <c r="A33" s="237"/>
      <c r="B33" s="475"/>
      <c r="C33" s="476"/>
      <c r="D33" s="250"/>
      <c r="E33" s="588"/>
      <c r="F33" s="585"/>
      <c r="L33" s="245"/>
      <c r="M33" s="246"/>
      <c r="N33" s="239"/>
      <c r="O33" s="246"/>
      <c r="P33" s="246"/>
      <c r="Q33" s="246"/>
      <c r="R33" s="240"/>
      <c r="S33" s="240"/>
    </row>
    <row r="36" spans="1:19" x14ac:dyDescent="0.25">
      <c r="A36" s="237" t="s">
        <v>2243</v>
      </c>
      <c r="B36" s="475"/>
      <c r="C36" s="476"/>
      <c r="D36" s="259"/>
      <c r="E36" s="241"/>
      <c r="F36" s="585"/>
      <c r="L36" s="245"/>
      <c r="M36" s="246"/>
      <c r="N36" s="239"/>
      <c r="O36" s="246"/>
      <c r="P36" s="246"/>
      <c r="Q36" s="246"/>
      <c r="R36" s="240"/>
      <c r="S36" s="240"/>
    </row>
    <row r="37" spans="1:19" x14ac:dyDescent="0.25">
      <c r="A37" s="237"/>
      <c r="B37" s="475"/>
      <c r="C37" s="476"/>
      <c r="D37" s="259"/>
      <c r="E37" s="241"/>
      <c r="F37" s="585"/>
      <c r="L37" s="245"/>
      <c r="M37" s="246"/>
      <c r="N37" s="239"/>
      <c r="O37" s="246"/>
      <c r="P37" s="246"/>
      <c r="Q37" s="246"/>
      <c r="R37" s="240"/>
      <c r="S37" s="240"/>
    </row>
    <row r="38" spans="1:19" x14ac:dyDescent="0.25">
      <c r="A38" s="237"/>
      <c r="B38" s="475"/>
      <c r="C38" s="476"/>
      <c r="D38" s="259"/>
      <c r="E38" s="241"/>
      <c r="F38" s="585"/>
      <c r="L38" s="245"/>
      <c r="M38" s="246"/>
      <c r="N38" s="239"/>
      <c r="O38" s="246"/>
      <c r="P38" s="246"/>
      <c r="Q38" s="246"/>
      <c r="R38" s="240"/>
      <c r="S38" s="240"/>
    </row>
    <row r="39" spans="1:19" x14ac:dyDescent="0.25">
      <c r="A39" s="237"/>
      <c r="B39" s="475"/>
      <c r="C39" s="476"/>
      <c r="D39" s="259"/>
      <c r="E39" s="588"/>
      <c r="F39" s="585"/>
      <c r="L39" s="245"/>
      <c r="M39" s="246"/>
      <c r="N39" s="239"/>
      <c r="O39" s="246"/>
      <c r="P39" s="246"/>
      <c r="Q39" s="246"/>
      <c r="R39" s="240"/>
      <c r="S39" s="240"/>
    </row>
    <row r="40" spans="1:19" x14ac:dyDescent="0.25">
      <c r="A40" s="237"/>
      <c r="B40" s="584"/>
      <c r="C40" s="249"/>
      <c r="D40" s="259"/>
      <c r="E40" s="241"/>
      <c r="F40" s="585"/>
      <c r="L40" s="245"/>
      <c r="M40" s="246"/>
      <c r="N40" s="239"/>
      <c r="O40" s="246"/>
      <c r="P40" s="246"/>
      <c r="Q40" s="246"/>
      <c r="R40" s="240"/>
      <c r="S40" s="240"/>
    </row>
    <row r="41" spans="1:19" x14ac:dyDescent="0.25">
      <c r="A41" s="237"/>
      <c r="B41" s="584"/>
      <c r="C41" s="249"/>
      <c r="D41" s="259"/>
      <c r="E41" s="241"/>
      <c r="F41" s="585"/>
      <c r="L41" s="245"/>
      <c r="M41" s="246"/>
      <c r="N41" s="239"/>
      <c r="O41" s="246"/>
      <c r="P41" s="246"/>
      <c r="Q41" s="246"/>
      <c r="R41" s="240"/>
      <c r="S41" s="240"/>
    </row>
    <row r="42" spans="1:19" x14ac:dyDescent="0.25">
      <c r="A42" s="237"/>
      <c r="B42" s="584"/>
      <c r="C42" s="249"/>
      <c r="D42" s="259"/>
      <c r="E42" s="241"/>
      <c r="F42" s="585"/>
      <c r="L42" s="245"/>
      <c r="M42" s="246"/>
      <c r="N42" s="239"/>
      <c r="O42" s="246"/>
      <c r="P42" s="246"/>
      <c r="Q42" s="246"/>
      <c r="R42" s="240"/>
      <c r="S42" s="240"/>
    </row>
    <row r="43" spans="1:19" x14ac:dyDescent="0.25">
      <c r="A43" s="237" t="s">
        <v>1794</v>
      </c>
      <c r="B43" s="475"/>
      <c r="C43" s="476"/>
      <c r="D43" s="259"/>
      <c r="E43" s="241"/>
      <c r="F43" s="585"/>
      <c r="L43" s="245"/>
      <c r="M43" s="246"/>
      <c r="N43" s="239"/>
      <c r="O43" s="246"/>
      <c r="P43" s="246"/>
      <c r="Q43" s="246"/>
      <c r="R43" s="240"/>
      <c r="S43" s="240"/>
    </row>
    <row r="44" spans="1:19" x14ac:dyDescent="0.25">
      <c r="A44" s="237"/>
      <c r="B44" s="475"/>
      <c r="C44" s="477"/>
      <c r="D44" s="259"/>
      <c r="E44" s="241"/>
      <c r="F44" s="582"/>
      <c r="G44" s="582"/>
      <c r="L44" s="245"/>
      <c r="M44" s="246"/>
      <c r="N44" s="239"/>
      <c r="O44" s="246"/>
      <c r="P44" s="246"/>
      <c r="Q44" s="246"/>
      <c r="R44" s="240"/>
      <c r="S44" s="240"/>
    </row>
    <row r="45" spans="1:19" x14ac:dyDescent="0.25">
      <c r="D45" s="250"/>
      <c r="E45" s="241"/>
      <c r="L45" s="245"/>
      <c r="M45" s="246"/>
      <c r="N45" s="239"/>
      <c r="O45" s="246"/>
      <c r="P45" s="246"/>
      <c r="Q45" s="246"/>
      <c r="R45" s="240"/>
      <c r="S45" s="240"/>
    </row>
    <row r="46" spans="1:19" x14ac:dyDescent="0.25">
      <c r="D46" s="250"/>
      <c r="E46" s="241"/>
      <c r="L46" s="245"/>
      <c r="M46" s="246"/>
      <c r="N46" s="239"/>
      <c r="O46" s="246"/>
      <c r="P46" s="246"/>
      <c r="Q46" s="246"/>
      <c r="R46" s="240"/>
      <c r="S46" s="240"/>
    </row>
    <row r="47" spans="1:19" ht="15.75" thickBot="1" x14ac:dyDescent="0.3">
      <c r="A47" s="237" t="s">
        <v>1873</v>
      </c>
      <c r="B47" s="237"/>
      <c r="D47" s="260">
        <f>SUM(D23:D46)</f>
        <v>36.85</v>
      </c>
      <c r="E47" s="241"/>
      <c r="L47" s="245"/>
      <c r="M47" s="246"/>
      <c r="N47" s="239"/>
      <c r="O47" s="246"/>
      <c r="P47" s="246"/>
      <c r="Q47" s="246"/>
      <c r="R47" s="240"/>
      <c r="S47" s="240"/>
    </row>
    <row r="48" spans="1:19" ht="15.75" thickTop="1" x14ac:dyDescent="0.25">
      <c r="D48" s="250"/>
      <c r="E48" s="241"/>
      <c r="L48" s="245"/>
      <c r="M48" s="246"/>
      <c r="N48" s="239"/>
      <c r="O48" s="246"/>
      <c r="P48" s="246"/>
      <c r="Q48" s="246"/>
      <c r="R48" s="240"/>
      <c r="S48" s="240"/>
    </row>
    <row r="49" spans="1:19" x14ac:dyDescent="0.25">
      <c r="E49" s="241"/>
      <c r="L49" s="245"/>
      <c r="M49" s="246"/>
      <c r="N49" s="239"/>
      <c r="O49" s="246"/>
      <c r="P49" s="246"/>
      <c r="Q49" s="246"/>
      <c r="R49" s="240"/>
      <c r="S49" s="240"/>
    </row>
    <row r="50" spans="1:19" x14ac:dyDescent="0.25">
      <c r="L50" s="245"/>
      <c r="M50" s="246"/>
      <c r="N50" s="239"/>
      <c r="O50" s="246"/>
      <c r="P50" s="246"/>
      <c r="Q50" s="246"/>
      <c r="R50" s="240"/>
      <c r="S50" s="240"/>
    </row>
    <row r="52" spans="1:19" x14ac:dyDescent="0.25">
      <c r="A52" s="261"/>
      <c r="C52" s="262"/>
      <c r="D52" s="261"/>
    </row>
    <row r="53" spans="1:19" x14ac:dyDescent="0.25">
      <c r="A53" s="233" t="s">
        <v>1874</v>
      </c>
      <c r="C53" s="233" t="s">
        <v>1102</v>
      </c>
      <c r="L53" s="245"/>
      <c r="M53" s="246"/>
      <c r="N53" s="239"/>
      <c r="O53" s="246"/>
      <c r="P53" s="246"/>
      <c r="Q53" s="246"/>
      <c r="R53" s="240"/>
      <c r="S53" s="240"/>
    </row>
    <row r="54" spans="1:19" x14ac:dyDescent="0.25">
      <c r="L54" s="245"/>
      <c r="M54" s="246"/>
      <c r="N54" s="239"/>
      <c r="O54" s="246"/>
      <c r="P54" s="246"/>
      <c r="Q54" s="246"/>
      <c r="R54" s="240"/>
      <c r="S54" s="240"/>
    </row>
    <row r="55" spans="1:19" x14ac:dyDescent="0.25">
      <c r="L55" s="245"/>
      <c r="M55" s="246"/>
      <c r="N55" s="239"/>
      <c r="O55" s="246"/>
      <c r="P55" s="246"/>
      <c r="Q55" s="246"/>
      <c r="R55" s="240"/>
      <c r="S55" s="240"/>
    </row>
    <row r="56" spans="1:19" x14ac:dyDescent="0.25">
      <c r="A56" s="261"/>
      <c r="C56" s="261"/>
      <c r="D56" s="261"/>
      <c r="L56" s="245"/>
      <c r="M56" s="246"/>
      <c r="N56" s="239"/>
      <c r="O56" s="246"/>
      <c r="P56" s="246"/>
      <c r="Q56" s="246"/>
      <c r="R56" s="240"/>
      <c r="S56" s="240"/>
    </row>
    <row r="57" spans="1:19" ht="14.25" customHeight="1" x14ac:dyDescent="0.25">
      <c r="A57" s="233" t="s">
        <v>1875</v>
      </c>
      <c r="C57" s="233" t="s">
        <v>1102</v>
      </c>
      <c r="L57" s="245"/>
      <c r="M57" s="246"/>
      <c r="N57" s="239"/>
      <c r="O57" s="246"/>
      <c r="P57" s="246"/>
      <c r="Q57" s="246"/>
      <c r="R57" s="240"/>
      <c r="S57"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C2184-EA8C-408D-A03F-D56E11E5F8FB}">
  <sheetPr>
    <tabColor theme="9"/>
    <pageSetUpPr fitToPage="1"/>
  </sheetPr>
  <dimension ref="A8:S57"/>
  <sheetViews>
    <sheetView topLeftCell="A10" zoomScaleNormal="100" workbookViewId="0">
      <selection activeCell="A10" sqref="A10:C10"/>
    </sheetView>
  </sheetViews>
  <sheetFormatPr defaultColWidth="9.140625" defaultRowHeight="15" x14ac:dyDescent="0.25"/>
  <cols>
    <col min="1" max="1" width="23.28515625" style="233" customWidth="1"/>
    <col min="2" max="2" width="46"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
        <v>2258</v>
      </c>
      <c r="B10" s="887"/>
      <c r="C10" s="887"/>
      <c r="D10" s="235"/>
      <c r="E10" s="235"/>
    </row>
    <row r="11" spans="1:19" ht="15.75" thickTop="1" x14ac:dyDescent="0.25"/>
    <row r="12" spans="1:19" x14ac:dyDescent="0.25">
      <c r="A12" s="236" t="s">
        <v>227</v>
      </c>
      <c r="B12" s="236"/>
    </row>
    <row r="14" spans="1:19" x14ac:dyDescent="0.25">
      <c r="A14" s="237" t="s">
        <v>1848</v>
      </c>
      <c r="B14" s="582" t="s">
        <v>1528</v>
      </c>
    </row>
    <row r="15" spans="1:19" x14ac:dyDescent="0.25">
      <c r="A15" s="237" t="s">
        <v>1849</v>
      </c>
      <c r="B15" s="583">
        <v>44509</v>
      </c>
      <c r="C15" s="238"/>
      <c r="M15" s="239"/>
      <c r="N15" s="239"/>
    </row>
    <row r="16" spans="1:19" x14ac:dyDescent="0.25">
      <c r="A16" s="237" t="s">
        <v>1851</v>
      </c>
      <c r="B16" s="582" t="s">
        <v>2142</v>
      </c>
      <c r="M16" s="239"/>
      <c r="N16" s="239"/>
      <c r="O16" s="239"/>
      <c r="P16" s="239"/>
      <c r="Q16" s="240"/>
      <c r="R16" s="239"/>
      <c r="S16" s="240"/>
    </row>
    <row r="17" spans="1:19" x14ac:dyDescent="0.25">
      <c r="A17" s="237" t="s">
        <v>1852</v>
      </c>
      <c r="B17" s="582" t="s">
        <v>2139</v>
      </c>
      <c r="C17" s="241"/>
      <c r="F17" s="242"/>
      <c r="M17" s="239"/>
      <c r="N17" s="239"/>
      <c r="O17" s="239"/>
      <c r="P17" s="239"/>
      <c r="Q17" s="240"/>
      <c r="R17" s="239"/>
      <c r="S17" s="240"/>
    </row>
    <row r="18" spans="1:19" x14ac:dyDescent="0.25">
      <c r="A18" s="237"/>
      <c r="B18" s="592" t="s">
        <v>2259</v>
      </c>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s="248" customFormat="1" x14ac:dyDescent="0.25">
      <c r="A23" s="237"/>
      <c r="C23" s="249"/>
      <c r="D23" s="250"/>
      <c r="E23" s="233"/>
      <c r="F23" s="233"/>
      <c r="G23" s="233"/>
      <c r="L23" s="251"/>
      <c r="M23" s="252"/>
      <c r="N23" s="253"/>
      <c r="O23" s="252"/>
      <c r="P23" s="252"/>
      <c r="Q23" s="252"/>
      <c r="R23" s="254"/>
      <c r="S23" s="254"/>
    </row>
    <row r="24" spans="1:19" s="248" customFormat="1" x14ac:dyDescent="0.25">
      <c r="A24" s="372" t="s">
        <v>1859</v>
      </c>
      <c r="B24" s="593" t="s">
        <v>2260</v>
      </c>
      <c r="C24" s="594" t="s">
        <v>2249</v>
      </c>
      <c r="D24" s="374">
        <f>GETPIVOTDATA("Net",'Orbit Jul-Nov 2021'!$A$28,"VendorType","TKT","Departure Date",DATE(2021,11,9),"Reason for Travel","Attend Waikato Cardiff Uni Signing Ceremony")</f>
        <v>304.19</v>
      </c>
      <c r="E24" s="375">
        <v>44509</v>
      </c>
      <c r="F24" s="589" t="s">
        <v>2142</v>
      </c>
      <c r="G24" s="582" t="s">
        <v>2261</v>
      </c>
      <c r="L24" s="251"/>
      <c r="M24" s="252"/>
      <c r="N24" s="253"/>
      <c r="O24" s="252"/>
      <c r="P24" s="252"/>
      <c r="Q24" s="252"/>
      <c r="R24" s="254"/>
      <c r="S24" s="254"/>
    </row>
    <row r="25" spans="1:19" s="248" customFormat="1" x14ac:dyDescent="0.25">
      <c r="A25" s="237"/>
      <c r="C25" s="590" t="s">
        <v>2250</v>
      </c>
      <c r="D25" s="250">
        <f>GETPIVOTDATA("Net",'Orbit Jul-Nov 2021'!$A$28,"VendorType","OTHER","Departure Date",DATE(2021,11,9),"Reason for Travel","Attend Waikato Cardiff Uni Signing Ceremony")</f>
        <v>15.85</v>
      </c>
      <c r="E25" s="233"/>
      <c r="F25" s="233"/>
      <c r="G25" s="233"/>
      <c r="L25" s="251"/>
      <c r="M25" s="252"/>
      <c r="N25" s="253"/>
      <c r="O25" s="252"/>
      <c r="P25" s="252"/>
      <c r="Q25" s="252"/>
      <c r="R25" s="254"/>
      <c r="S25" s="254"/>
    </row>
    <row r="26" spans="1:19" s="248" customFormat="1" ht="30" x14ac:dyDescent="0.25">
      <c r="A26" s="237"/>
      <c r="C26" s="590" t="s">
        <v>2262</v>
      </c>
      <c r="D26" s="250">
        <f>'Orbit Dec-Mar 22'!I25</f>
        <v>25.85</v>
      </c>
      <c r="E26" s="233"/>
      <c r="F26" s="233"/>
      <c r="G26" s="233"/>
      <c r="L26" s="251"/>
      <c r="M26" s="252"/>
      <c r="N26" s="253"/>
      <c r="O26" s="252"/>
      <c r="P26" s="252"/>
      <c r="Q26" s="252"/>
      <c r="R26" s="254"/>
      <c r="S26" s="254"/>
    </row>
    <row r="27" spans="1:19" s="248" customFormat="1" x14ac:dyDescent="0.25">
      <c r="A27" s="237"/>
      <c r="C27" s="249"/>
      <c r="D27" s="250"/>
      <c r="E27" s="233"/>
      <c r="F27" s="233"/>
      <c r="G27" s="233"/>
      <c r="L27" s="251"/>
      <c r="M27" s="252"/>
      <c r="N27" s="253"/>
      <c r="O27" s="252"/>
      <c r="P27" s="252"/>
      <c r="Q27" s="252"/>
      <c r="R27" s="254"/>
      <c r="S27" s="254"/>
    </row>
    <row r="28" spans="1:19" x14ac:dyDescent="0.25">
      <c r="A28" s="257" t="s">
        <v>1866</v>
      </c>
      <c r="B28" s="584"/>
      <c r="C28" s="591"/>
      <c r="D28" s="259"/>
      <c r="E28" s="241"/>
      <c r="F28" s="585"/>
      <c r="L28" s="245"/>
      <c r="M28" s="246"/>
      <c r="N28" s="239"/>
      <c r="O28" s="246"/>
      <c r="P28" s="246"/>
      <c r="Q28" s="246"/>
      <c r="R28" s="240"/>
      <c r="S28" s="240"/>
    </row>
    <row r="29" spans="1:19" x14ac:dyDescent="0.25">
      <c r="A29" s="237"/>
      <c r="B29" s="584"/>
      <c r="C29" s="249"/>
      <c r="D29" s="250"/>
      <c r="E29" s="241"/>
      <c r="F29" s="582"/>
      <c r="L29" s="245"/>
      <c r="M29" s="246"/>
      <c r="N29" s="239"/>
      <c r="O29" s="246"/>
      <c r="P29" s="246"/>
      <c r="Q29" s="246"/>
      <c r="R29" s="240"/>
      <c r="S29" s="240"/>
    </row>
    <row r="30" spans="1:19" x14ac:dyDescent="0.25">
      <c r="A30" s="237"/>
      <c r="B30" s="475"/>
      <c r="C30" s="476"/>
      <c r="D30" s="250"/>
      <c r="E30" s="241"/>
      <c r="L30" s="245"/>
      <c r="M30" s="246"/>
      <c r="N30" s="239"/>
      <c r="O30" s="246"/>
      <c r="P30" s="246"/>
      <c r="Q30" s="246"/>
      <c r="R30" s="240"/>
      <c r="S30" s="240"/>
    </row>
    <row r="31" spans="1:19" x14ac:dyDescent="0.25">
      <c r="A31" s="237" t="s">
        <v>1385</v>
      </c>
      <c r="B31" s="475"/>
      <c r="C31" s="476"/>
      <c r="D31" s="250"/>
      <c r="E31" s="241"/>
      <c r="F31" s="585"/>
      <c r="L31" s="245"/>
      <c r="M31" s="246"/>
      <c r="N31" s="239"/>
      <c r="O31" s="246"/>
      <c r="P31" s="246"/>
      <c r="Q31" s="246"/>
      <c r="R31" s="240"/>
      <c r="S31" s="240"/>
    </row>
    <row r="32" spans="1:19" x14ac:dyDescent="0.25">
      <c r="A32" s="237"/>
      <c r="B32" s="475"/>
      <c r="C32" s="476"/>
      <c r="D32" s="250"/>
      <c r="E32" s="241"/>
      <c r="F32" s="585"/>
      <c r="L32" s="245"/>
      <c r="M32" s="246"/>
      <c r="N32" s="239"/>
      <c r="O32" s="246"/>
      <c r="P32" s="246"/>
      <c r="Q32" s="246"/>
      <c r="R32" s="240"/>
      <c r="S32" s="240"/>
    </row>
    <row r="33" spans="1:19" x14ac:dyDescent="0.25">
      <c r="A33" s="237"/>
      <c r="B33" s="475"/>
      <c r="C33" s="476"/>
      <c r="D33" s="250"/>
      <c r="E33" s="588"/>
      <c r="F33" s="585"/>
      <c r="L33" s="245"/>
      <c r="M33" s="246"/>
      <c r="N33" s="239"/>
      <c r="O33" s="246"/>
      <c r="P33" s="246"/>
      <c r="Q33" s="246"/>
      <c r="R33" s="240"/>
      <c r="S33" s="240"/>
    </row>
    <row r="36" spans="1:19" x14ac:dyDescent="0.25">
      <c r="A36" s="237" t="s">
        <v>2243</v>
      </c>
      <c r="B36" s="475"/>
      <c r="C36" s="476"/>
      <c r="D36" s="259"/>
      <c r="E36" s="241"/>
      <c r="F36" s="585"/>
      <c r="L36" s="245"/>
      <c r="M36" s="246"/>
      <c r="N36" s="239"/>
      <c r="O36" s="246"/>
      <c r="P36" s="246"/>
      <c r="Q36" s="246"/>
      <c r="R36" s="240"/>
      <c r="S36" s="240"/>
    </row>
    <row r="37" spans="1:19" x14ac:dyDescent="0.25">
      <c r="A37" s="237"/>
      <c r="B37" s="475"/>
      <c r="C37" s="476"/>
      <c r="D37" s="259"/>
      <c r="E37" s="241"/>
      <c r="F37" s="585"/>
      <c r="L37" s="245"/>
      <c r="M37" s="246"/>
      <c r="N37" s="239"/>
      <c r="O37" s="246"/>
      <c r="P37" s="246"/>
      <c r="Q37" s="246"/>
      <c r="R37" s="240"/>
      <c r="S37" s="240"/>
    </row>
    <row r="38" spans="1:19" x14ac:dyDescent="0.25">
      <c r="A38" s="237"/>
      <c r="B38" s="475"/>
      <c r="C38" s="476"/>
      <c r="D38" s="259"/>
      <c r="E38" s="241"/>
      <c r="F38" s="585"/>
      <c r="L38" s="245"/>
      <c r="M38" s="246"/>
      <c r="N38" s="239"/>
      <c r="O38" s="246"/>
      <c r="P38" s="246"/>
      <c r="Q38" s="246"/>
      <c r="R38" s="240"/>
      <c r="S38" s="240"/>
    </row>
    <row r="39" spans="1:19" x14ac:dyDescent="0.25">
      <c r="A39" s="237"/>
      <c r="B39" s="475"/>
      <c r="C39" s="476"/>
      <c r="D39" s="259"/>
      <c r="E39" s="588"/>
      <c r="F39" s="585"/>
      <c r="L39" s="245"/>
      <c r="M39" s="246"/>
      <c r="N39" s="239"/>
      <c r="O39" s="246"/>
      <c r="P39" s="246"/>
      <c r="Q39" s="246"/>
      <c r="R39" s="240"/>
      <c r="S39" s="240"/>
    </row>
    <row r="40" spans="1:19" x14ac:dyDescent="0.25">
      <c r="A40" s="237"/>
      <c r="B40" s="584"/>
      <c r="C40" s="249"/>
      <c r="D40" s="259"/>
      <c r="E40" s="241"/>
      <c r="F40" s="585"/>
      <c r="L40" s="245"/>
      <c r="M40" s="246"/>
      <c r="N40" s="239"/>
      <c r="O40" s="246"/>
      <c r="P40" s="246"/>
      <c r="Q40" s="246"/>
      <c r="R40" s="240"/>
      <c r="S40" s="240"/>
    </row>
    <row r="41" spans="1:19" x14ac:dyDescent="0.25">
      <c r="A41" s="237"/>
      <c r="B41" s="584"/>
      <c r="C41" s="249"/>
      <c r="D41" s="259"/>
      <c r="E41" s="241"/>
      <c r="F41" s="585"/>
      <c r="L41" s="245"/>
      <c r="M41" s="246"/>
      <c r="N41" s="239"/>
      <c r="O41" s="246"/>
      <c r="P41" s="246"/>
      <c r="Q41" s="246"/>
      <c r="R41" s="240"/>
      <c r="S41" s="240"/>
    </row>
    <row r="42" spans="1:19" x14ac:dyDescent="0.25">
      <c r="A42" s="237"/>
      <c r="B42" s="584"/>
      <c r="C42" s="249"/>
      <c r="D42" s="259"/>
      <c r="E42" s="241"/>
      <c r="F42" s="585"/>
      <c r="L42" s="245"/>
      <c r="M42" s="246"/>
      <c r="N42" s="239"/>
      <c r="O42" s="246"/>
      <c r="P42" s="246"/>
      <c r="Q42" s="246"/>
      <c r="R42" s="240"/>
      <c r="S42" s="240"/>
    </row>
    <row r="43" spans="1:19" x14ac:dyDescent="0.25">
      <c r="A43" s="237" t="s">
        <v>1794</v>
      </c>
      <c r="B43" s="475"/>
      <c r="C43" s="476"/>
      <c r="D43" s="259"/>
      <c r="E43" s="241"/>
      <c r="F43" s="585"/>
      <c r="L43" s="245"/>
      <c r="M43" s="246"/>
      <c r="N43" s="239"/>
      <c r="O43" s="246"/>
      <c r="P43" s="246"/>
      <c r="Q43" s="246"/>
      <c r="R43" s="240"/>
      <c r="S43" s="240"/>
    </row>
    <row r="44" spans="1:19" x14ac:dyDescent="0.25">
      <c r="A44" s="237"/>
      <c r="B44" s="475"/>
      <c r="C44" s="477"/>
      <c r="D44" s="259"/>
      <c r="E44" s="241"/>
      <c r="F44" s="582"/>
      <c r="G44" s="582"/>
      <c r="L44" s="245"/>
      <c r="M44" s="246"/>
      <c r="N44" s="239"/>
      <c r="O44" s="246"/>
      <c r="P44" s="246"/>
      <c r="Q44" s="246"/>
      <c r="R44" s="240"/>
      <c r="S44" s="240"/>
    </row>
    <row r="45" spans="1:19" x14ac:dyDescent="0.25">
      <c r="D45" s="250"/>
      <c r="E45" s="241"/>
      <c r="L45" s="245"/>
      <c r="M45" s="246"/>
      <c r="N45" s="239"/>
      <c r="O45" s="246"/>
      <c r="P45" s="246"/>
      <c r="Q45" s="246"/>
      <c r="R45" s="240"/>
      <c r="S45" s="240"/>
    </row>
    <row r="46" spans="1:19" x14ac:dyDescent="0.25">
      <c r="D46" s="250"/>
      <c r="E46" s="241"/>
      <c r="L46" s="245"/>
      <c r="M46" s="246"/>
      <c r="N46" s="239"/>
      <c r="O46" s="246"/>
      <c r="P46" s="246"/>
      <c r="Q46" s="246"/>
      <c r="R46" s="240"/>
      <c r="S46" s="240"/>
    </row>
    <row r="47" spans="1:19" ht="15.75" thickBot="1" x14ac:dyDescent="0.3">
      <c r="A47" s="237" t="s">
        <v>1873</v>
      </c>
      <c r="B47" s="237"/>
      <c r="D47" s="260">
        <f>SUM(D25:D26)</f>
        <v>41.7</v>
      </c>
      <c r="E47" s="241"/>
      <c r="L47" s="245"/>
      <c r="M47" s="246"/>
      <c r="N47" s="239"/>
      <c r="O47" s="246"/>
      <c r="P47" s="246"/>
      <c r="Q47" s="246"/>
      <c r="R47" s="240"/>
      <c r="S47" s="240"/>
    </row>
    <row r="48" spans="1:19" ht="15.75" thickTop="1" x14ac:dyDescent="0.25">
      <c r="D48" s="250"/>
      <c r="E48" s="241"/>
      <c r="L48" s="245"/>
      <c r="M48" s="246"/>
      <c r="N48" s="239"/>
      <c r="O48" s="246"/>
      <c r="P48" s="246"/>
      <c r="Q48" s="246"/>
      <c r="R48" s="240"/>
      <c r="S48" s="240"/>
    </row>
    <row r="49" spans="1:19" x14ac:dyDescent="0.25">
      <c r="E49" s="241"/>
      <c r="L49" s="245"/>
      <c r="M49" s="246"/>
      <c r="N49" s="239"/>
      <c r="O49" s="246"/>
      <c r="P49" s="246"/>
      <c r="Q49" s="246"/>
      <c r="R49" s="240"/>
      <c r="S49" s="240"/>
    </row>
    <row r="50" spans="1:19" x14ac:dyDescent="0.25">
      <c r="L50" s="245"/>
      <c r="M50" s="246"/>
      <c r="N50" s="239"/>
      <c r="O50" s="246"/>
      <c r="P50" s="246"/>
      <c r="Q50" s="246"/>
      <c r="R50" s="240"/>
      <c r="S50" s="240"/>
    </row>
    <row r="52" spans="1:19" x14ac:dyDescent="0.25">
      <c r="A52" s="261"/>
      <c r="C52" s="262"/>
      <c r="D52" s="261"/>
    </row>
    <row r="53" spans="1:19" x14ac:dyDescent="0.25">
      <c r="A53" s="233" t="s">
        <v>1874</v>
      </c>
      <c r="C53" s="233" t="s">
        <v>1102</v>
      </c>
      <c r="L53" s="245"/>
      <c r="M53" s="246"/>
      <c r="N53" s="239"/>
      <c r="O53" s="246"/>
      <c r="P53" s="246"/>
      <c r="Q53" s="246"/>
      <c r="R53" s="240"/>
      <c r="S53" s="240"/>
    </row>
    <row r="54" spans="1:19" x14ac:dyDescent="0.25">
      <c r="L54" s="245"/>
      <c r="M54" s="246"/>
      <c r="N54" s="239"/>
      <c r="O54" s="246"/>
      <c r="P54" s="246"/>
      <c r="Q54" s="246"/>
      <c r="R54" s="240"/>
      <c r="S54" s="240"/>
    </row>
    <row r="55" spans="1:19" x14ac:dyDescent="0.25">
      <c r="L55" s="245"/>
      <c r="M55" s="246"/>
      <c r="N55" s="239"/>
      <c r="O55" s="246"/>
      <c r="P55" s="246"/>
      <c r="Q55" s="246"/>
      <c r="R55" s="240"/>
      <c r="S55" s="240"/>
    </row>
    <row r="56" spans="1:19" x14ac:dyDescent="0.25">
      <c r="A56" s="261"/>
      <c r="C56" s="261"/>
      <c r="D56" s="261"/>
      <c r="L56" s="245"/>
      <c r="M56" s="246"/>
      <c r="N56" s="239"/>
      <c r="O56" s="246"/>
      <c r="P56" s="246"/>
      <c r="Q56" s="246"/>
      <c r="R56" s="240"/>
      <c r="S56" s="240"/>
    </row>
    <row r="57" spans="1:19" ht="14.25" customHeight="1" x14ac:dyDescent="0.25">
      <c r="A57" s="233" t="s">
        <v>1875</v>
      </c>
      <c r="C57" s="233" t="s">
        <v>1102</v>
      </c>
      <c r="L57" s="245"/>
      <c r="M57" s="246"/>
      <c r="N57" s="239"/>
      <c r="O57" s="246"/>
      <c r="P57" s="246"/>
      <c r="Q57" s="246"/>
      <c r="R57" s="240"/>
      <c r="S57"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0933-F839-43B3-A769-E5C4C39CA27E}">
  <sheetPr>
    <tabColor theme="9"/>
    <pageSetUpPr fitToPage="1"/>
  </sheetPr>
  <dimension ref="A8:S57"/>
  <sheetViews>
    <sheetView zoomScaleNormal="100" workbookViewId="0">
      <selection activeCell="D19" sqref="D19"/>
    </sheetView>
  </sheetViews>
  <sheetFormatPr defaultColWidth="9.140625" defaultRowHeight="15" x14ac:dyDescent="0.25"/>
  <cols>
    <col min="1" max="1" width="23.28515625" style="233" customWidth="1"/>
    <col min="2" max="2" width="44" style="233" customWidth="1"/>
    <col min="3" max="3" width="14.28515625" style="233" customWidth="1"/>
    <col min="4" max="4" width="25.7109375" style="233" customWidth="1"/>
    <col min="5" max="5" width="14" style="233" customWidth="1"/>
    <col min="6" max="6" width="21.28515625" style="233" customWidth="1"/>
    <col min="7" max="16" width="9.140625" style="233"/>
    <col min="17" max="17" width="24.7109375" style="233" customWidth="1"/>
    <col min="18" max="16384" width="9.140625" style="233"/>
  </cols>
  <sheetData>
    <row r="8" spans="1:19" ht="15.75" x14ac:dyDescent="0.25">
      <c r="A8" s="232" t="s">
        <v>1847</v>
      </c>
      <c r="B8" s="232"/>
    </row>
    <row r="9" spans="1:19" x14ac:dyDescent="0.25">
      <c r="A9" s="234"/>
      <c r="B9" s="234"/>
    </row>
    <row r="10" spans="1:19" ht="16.5" thickBot="1" x14ac:dyDescent="0.3">
      <c r="A10" s="887" t="str">
        <f>'Reconciliation Nov-Mar 20'!A9</f>
        <v>Disclosure period:  01/11/2019 - 31/03/2020</v>
      </c>
      <c r="B10" s="887"/>
      <c r="C10" s="887"/>
      <c r="D10" s="235"/>
      <c r="E10" s="235"/>
    </row>
    <row r="11" spans="1:19" ht="15.75" thickTop="1" x14ac:dyDescent="0.25"/>
    <row r="12" spans="1:19" x14ac:dyDescent="0.25">
      <c r="A12" s="236" t="s">
        <v>227</v>
      </c>
      <c r="B12" s="236"/>
    </row>
    <row r="14" spans="1:19" x14ac:dyDescent="0.25">
      <c r="A14" s="237" t="s">
        <v>1848</v>
      </c>
      <c r="B14" s="582" t="s">
        <v>1588</v>
      </c>
    </row>
    <row r="15" spans="1:19" x14ac:dyDescent="0.25">
      <c r="A15" s="237" t="s">
        <v>1849</v>
      </c>
      <c r="B15" s="583" t="s">
        <v>2263</v>
      </c>
      <c r="C15" s="238"/>
      <c r="M15" s="239"/>
      <c r="N15" s="239"/>
    </row>
    <row r="16" spans="1:19" x14ac:dyDescent="0.25">
      <c r="A16" s="237" t="s">
        <v>1851</v>
      </c>
      <c r="B16" s="582" t="s">
        <v>2264</v>
      </c>
      <c r="M16" s="239"/>
      <c r="N16" s="239"/>
      <c r="O16" s="239"/>
      <c r="P16" s="239"/>
      <c r="Q16" s="240"/>
      <c r="R16" s="239"/>
      <c r="S16" s="240"/>
    </row>
    <row r="17" spans="1:19" x14ac:dyDescent="0.25">
      <c r="A17" s="237" t="s">
        <v>1852</v>
      </c>
      <c r="B17" s="582" t="s">
        <v>2265</v>
      </c>
      <c r="C17" s="241"/>
      <c r="F17" s="242"/>
      <c r="M17" s="239"/>
      <c r="N17" s="239"/>
      <c r="O17" s="239"/>
      <c r="P17" s="239"/>
      <c r="Q17" s="240"/>
      <c r="R17" s="239"/>
      <c r="S17" s="240"/>
    </row>
    <row r="18" spans="1:19" x14ac:dyDescent="0.25">
      <c r="A18" s="237"/>
      <c r="B18" s="582"/>
      <c r="C18" s="241"/>
      <c r="M18" s="239"/>
      <c r="N18" s="239"/>
      <c r="O18" s="239"/>
      <c r="P18" s="239"/>
      <c r="Q18" s="240"/>
      <c r="R18" s="239"/>
      <c r="S18" s="240"/>
    </row>
    <row r="19" spans="1:19" x14ac:dyDescent="0.25">
      <c r="A19" s="237"/>
      <c r="B19" s="582"/>
      <c r="C19" s="241"/>
      <c r="M19" s="239"/>
      <c r="N19" s="239"/>
      <c r="O19" s="239"/>
      <c r="P19" s="239"/>
      <c r="Q19" s="240"/>
      <c r="R19" s="239"/>
      <c r="S19" s="240"/>
    </row>
    <row r="20" spans="1:19" x14ac:dyDescent="0.25">
      <c r="A20" s="237"/>
      <c r="B20" s="582"/>
      <c r="C20" s="241"/>
      <c r="M20" s="239"/>
      <c r="N20" s="239"/>
      <c r="O20" s="239"/>
      <c r="P20" s="239"/>
      <c r="Q20" s="240"/>
      <c r="R20" s="239"/>
      <c r="S20" s="240"/>
    </row>
    <row r="21" spans="1:19" x14ac:dyDescent="0.25">
      <c r="A21" s="237"/>
      <c r="B21" s="237"/>
      <c r="M21" s="239"/>
      <c r="N21" s="239"/>
      <c r="O21" s="239"/>
      <c r="P21" s="239"/>
      <c r="Q21" s="240"/>
      <c r="R21" s="239"/>
      <c r="S21" s="240"/>
    </row>
    <row r="22" spans="1:19" ht="31.5" x14ac:dyDescent="0.25">
      <c r="A22" s="243" t="s">
        <v>1854</v>
      </c>
      <c r="B22" s="244" t="s">
        <v>1855</v>
      </c>
      <c r="C22" s="244" t="s">
        <v>1856</v>
      </c>
      <c r="D22" s="244" t="s">
        <v>1857</v>
      </c>
      <c r="E22" s="244" t="s">
        <v>1858</v>
      </c>
      <c r="F22" s="244" t="s">
        <v>1480</v>
      </c>
      <c r="L22" s="245"/>
      <c r="M22" s="246"/>
      <c r="N22" s="239"/>
      <c r="O22" s="246"/>
      <c r="P22" s="246"/>
      <c r="Q22" s="246"/>
      <c r="R22" s="240"/>
      <c r="S22" s="240"/>
    </row>
    <row r="23" spans="1:19" x14ac:dyDescent="0.25">
      <c r="A23" s="247" t="s">
        <v>1859</v>
      </c>
      <c r="B23" s="584" t="s">
        <v>2266</v>
      </c>
      <c r="C23" s="249">
        <v>3605</v>
      </c>
      <c r="D23" s="250">
        <f>GETPIVOTDATA("Net",'Orbit Nov-Mar 20'!$A$37,"A/C Code",3605,"Departure Date",DATE(2020,3,20),"Reason for Travel","Apie Vancouver 2020")</f>
        <v>155.35</v>
      </c>
      <c r="E23" s="241">
        <v>43910</v>
      </c>
      <c r="F23" s="585" t="s">
        <v>2264</v>
      </c>
      <c r="G23" s="248"/>
      <c r="L23" s="245"/>
      <c r="M23" s="246"/>
      <c r="N23" s="239"/>
      <c r="O23" s="246"/>
      <c r="P23" s="246"/>
      <c r="Q23" s="246"/>
      <c r="R23" s="240"/>
      <c r="S23" s="240"/>
    </row>
    <row r="24" spans="1:19" x14ac:dyDescent="0.25">
      <c r="A24" s="248"/>
      <c r="B24" s="584" t="s">
        <v>2267</v>
      </c>
      <c r="C24" s="249">
        <v>3705</v>
      </c>
      <c r="D24" s="250">
        <f>GETPIVOTDATA("Net",'Orbit Nov-Mar 20'!$A$37,"A/C Code",3705,"Departure Date",DATE(2020,3,20),"Reason for Travel","Apie Vancouver 2020")</f>
        <v>8250.0299999999988</v>
      </c>
      <c r="E24" s="241"/>
      <c r="F24" s="585"/>
      <c r="G24" s="248"/>
      <c r="L24" s="245"/>
      <c r="M24" s="246"/>
      <c r="N24" s="239"/>
      <c r="O24" s="246"/>
      <c r="P24" s="246"/>
      <c r="Q24" s="246"/>
      <c r="R24" s="240"/>
      <c r="S24" s="240"/>
    </row>
    <row r="25" spans="1:19" x14ac:dyDescent="0.25">
      <c r="A25" s="248"/>
      <c r="B25" s="584" t="s">
        <v>2268</v>
      </c>
      <c r="C25" s="249">
        <v>3605</v>
      </c>
      <c r="D25" s="250">
        <f>'Orbit April 20'!L2+'Orbit April 20'!L3+'Orbit April 20'!L4</f>
        <v>65.22</v>
      </c>
      <c r="E25" s="241"/>
      <c r="F25" s="585"/>
      <c r="G25" s="248"/>
      <c r="L25" s="245"/>
      <c r="M25" s="246"/>
      <c r="N25" s="239"/>
      <c r="O25" s="246"/>
      <c r="P25" s="246"/>
      <c r="Q25" s="246"/>
      <c r="R25" s="240"/>
      <c r="S25" s="240"/>
    </row>
    <row r="26" spans="1:19" x14ac:dyDescent="0.25">
      <c r="A26" s="248"/>
      <c r="B26" s="584" t="s">
        <v>2269</v>
      </c>
      <c r="C26" s="249">
        <v>3705</v>
      </c>
      <c r="D26" s="255">
        <f>'Orbit April 20'!L5+'Orbit April 20'!L6</f>
        <v>-8250.0299999999988</v>
      </c>
      <c r="E26" s="241"/>
      <c r="F26" s="585"/>
      <c r="G26" s="248"/>
      <c r="L26" s="245"/>
      <c r="M26" s="246"/>
      <c r="N26" s="239"/>
      <c r="O26" s="246"/>
      <c r="P26" s="246"/>
      <c r="Q26" s="246"/>
      <c r="R26" s="240"/>
      <c r="S26" s="240"/>
    </row>
    <row r="27" spans="1:19" s="248" customFormat="1" x14ac:dyDescent="0.25">
      <c r="A27" s="237"/>
      <c r="C27" s="249"/>
      <c r="D27" s="250">
        <f>SUM(D23:D26)</f>
        <v>220.56999999999971</v>
      </c>
      <c r="E27" s="256"/>
      <c r="F27" s="233"/>
      <c r="L27" s="251"/>
      <c r="M27" s="252"/>
      <c r="N27" s="253"/>
      <c r="O27" s="252"/>
      <c r="P27" s="252"/>
      <c r="Q27" s="252"/>
      <c r="R27" s="254"/>
      <c r="S27" s="254"/>
    </row>
    <row r="28" spans="1:19" s="248" customFormat="1" x14ac:dyDescent="0.25">
      <c r="A28" s="237"/>
      <c r="C28" s="249"/>
      <c r="D28" s="250"/>
      <c r="E28" s="256"/>
      <c r="F28" s="233"/>
      <c r="L28" s="251"/>
      <c r="M28" s="252"/>
      <c r="N28" s="253"/>
      <c r="O28" s="252"/>
      <c r="P28" s="252"/>
      <c r="Q28" s="252"/>
      <c r="R28" s="254"/>
      <c r="S28" s="254"/>
    </row>
    <row r="29" spans="1:19" s="248" customFormat="1" x14ac:dyDescent="0.25">
      <c r="A29" s="237"/>
      <c r="C29" s="249"/>
      <c r="D29" s="250"/>
      <c r="E29" s="256"/>
      <c r="F29" s="233"/>
      <c r="L29" s="251"/>
      <c r="M29" s="252"/>
      <c r="N29" s="253"/>
      <c r="O29" s="252"/>
      <c r="P29" s="252"/>
      <c r="Q29" s="252"/>
      <c r="R29" s="254"/>
      <c r="S29" s="254"/>
    </row>
    <row r="30" spans="1:19" s="248" customFormat="1" x14ac:dyDescent="0.25">
      <c r="A30" s="237"/>
      <c r="C30" s="249"/>
      <c r="D30" s="250"/>
      <c r="E30" s="256"/>
      <c r="F30" s="233"/>
      <c r="L30" s="251"/>
      <c r="M30" s="252"/>
      <c r="N30" s="253"/>
      <c r="O30" s="252"/>
      <c r="P30" s="252"/>
      <c r="Q30" s="252"/>
      <c r="R30" s="254"/>
      <c r="S30" s="254"/>
    </row>
    <row r="31" spans="1:19" s="248" customFormat="1" x14ac:dyDescent="0.25">
      <c r="A31" s="237"/>
      <c r="C31" s="249"/>
      <c r="D31" s="250"/>
      <c r="E31" s="256"/>
      <c r="F31" s="233"/>
      <c r="L31" s="251"/>
      <c r="M31" s="252"/>
      <c r="N31" s="253"/>
      <c r="O31" s="252"/>
      <c r="P31" s="252"/>
      <c r="Q31" s="252"/>
      <c r="R31" s="254"/>
      <c r="S31" s="254"/>
    </row>
    <row r="32" spans="1:19" s="248" customFormat="1" x14ac:dyDescent="0.25">
      <c r="A32" s="237"/>
      <c r="C32" s="249"/>
      <c r="D32" s="250"/>
      <c r="E32" s="256"/>
      <c r="F32" s="233"/>
      <c r="L32" s="251"/>
      <c r="M32" s="252"/>
      <c r="N32" s="253"/>
      <c r="O32" s="252"/>
      <c r="P32" s="252"/>
      <c r="Q32" s="252"/>
      <c r="R32" s="254"/>
      <c r="S32" s="254"/>
    </row>
    <row r="33" spans="1:19" s="248" customFormat="1" x14ac:dyDescent="0.25">
      <c r="A33" s="237"/>
      <c r="C33" s="249"/>
      <c r="D33" s="250"/>
      <c r="E33" s="233"/>
      <c r="F33" s="233"/>
      <c r="G33" s="233"/>
      <c r="L33" s="251"/>
      <c r="M33" s="252"/>
      <c r="N33" s="253"/>
      <c r="O33" s="252"/>
      <c r="P33" s="252"/>
      <c r="Q33" s="252"/>
      <c r="R33" s="254"/>
      <c r="S33" s="254"/>
    </row>
    <row r="34" spans="1:19" ht="30" x14ac:dyDescent="0.25">
      <c r="A34" s="257" t="s">
        <v>2270</v>
      </c>
      <c r="B34" s="586" t="s">
        <v>2271</v>
      </c>
      <c r="C34" s="258">
        <v>4825</v>
      </c>
      <c r="D34" s="259">
        <f>'P-Card Oct-Mar 20'!J11</f>
        <v>254.44</v>
      </c>
      <c r="E34" s="241">
        <v>43797</v>
      </c>
      <c r="F34" s="582" t="s">
        <v>2264</v>
      </c>
      <c r="L34" s="245"/>
      <c r="M34" s="246"/>
      <c r="N34" s="239"/>
      <c r="O34" s="246"/>
      <c r="P34" s="246"/>
      <c r="Q34" s="246"/>
      <c r="R34" s="240"/>
      <c r="S34" s="240"/>
    </row>
    <row r="35" spans="1:19" x14ac:dyDescent="0.25">
      <c r="A35" s="237"/>
      <c r="B35" s="584"/>
      <c r="C35" s="249"/>
      <c r="D35" s="250"/>
      <c r="E35" s="241"/>
      <c r="F35" s="582"/>
      <c r="L35" s="245"/>
      <c r="M35" s="246"/>
      <c r="N35" s="239"/>
      <c r="O35" s="246"/>
      <c r="P35" s="246"/>
      <c r="Q35" s="246"/>
      <c r="R35" s="240"/>
      <c r="S35" s="240"/>
    </row>
    <row r="36" spans="1:19" x14ac:dyDescent="0.25">
      <c r="A36" s="237"/>
      <c r="B36" s="248"/>
      <c r="C36" s="249"/>
      <c r="D36" s="250"/>
      <c r="E36" s="241"/>
      <c r="L36" s="245"/>
      <c r="M36" s="246"/>
      <c r="N36" s="239"/>
      <c r="O36" s="246"/>
      <c r="P36" s="246"/>
      <c r="Q36" s="246"/>
      <c r="R36" s="240"/>
      <c r="S36" s="240"/>
    </row>
    <row r="37" spans="1:19" x14ac:dyDescent="0.25">
      <c r="A37" s="237" t="s">
        <v>1864</v>
      </c>
      <c r="B37" s="584" t="s">
        <v>1306</v>
      </c>
      <c r="C37" s="249">
        <v>3710</v>
      </c>
      <c r="D37" s="250">
        <f>'P-Card Oct-Mar 20'!J25</f>
        <v>1897.49</v>
      </c>
      <c r="E37" s="241">
        <v>43880</v>
      </c>
      <c r="F37" s="582" t="s">
        <v>2264</v>
      </c>
      <c r="L37" s="245"/>
      <c r="M37" s="246"/>
      <c r="N37" s="239"/>
      <c r="O37" s="246"/>
      <c r="P37" s="246"/>
      <c r="Q37" s="246"/>
      <c r="R37" s="240"/>
      <c r="S37" s="240"/>
    </row>
    <row r="38" spans="1:19" x14ac:dyDescent="0.25">
      <c r="A38" s="237"/>
      <c r="B38" s="248"/>
      <c r="C38" s="249"/>
      <c r="D38" s="250"/>
      <c r="E38" s="241"/>
      <c r="L38" s="245"/>
      <c r="M38" s="246"/>
      <c r="N38" s="239"/>
      <c r="O38" s="246"/>
      <c r="P38" s="246"/>
      <c r="Q38" s="246"/>
      <c r="R38" s="240"/>
      <c r="S38" s="240"/>
    </row>
    <row r="39" spans="1:19" x14ac:dyDescent="0.25">
      <c r="A39" s="237"/>
      <c r="B39" s="248"/>
      <c r="C39" s="249"/>
      <c r="D39" s="250"/>
      <c r="E39" s="241"/>
      <c r="L39" s="245"/>
      <c r="M39" s="246"/>
      <c r="N39" s="239"/>
      <c r="O39" s="246"/>
      <c r="P39" s="246"/>
      <c r="Q39" s="246"/>
      <c r="R39" s="240"/>
      <c r="S39" s="240"/>
    </row>
    <row r="40" spans="1:19" x14ac:dyDescent="0.25">
      <c r="A40" s="237"/>
      <c r="B40" s="582"/>
      <c r="D40" s="250"/>
      <c r="E40" s="241"/>
      <c r="L40" s="245"/>
      <c r="M40" s="246"/>
      <c r="N40" s="239"/>
      <c r="O40" s="246"/>
      <c r="P40" s="246"/>
      <c r="Q40" s="246"/>
      <c r="R40" s="240"/>
      <c r="S40" s="240"/>
    </row>
    <row r="41" spans="1:19" x14ac:dyDescent="0.25">
      <c r="A41" s="237"/>
      <c r="B41" s="584"/>
      <c r="C41" s="249"/>
      <c r="D41" s="250"/>
      <c r="E41" s="241"/>
      <c r="F41" s="582"/>
      <c r="L41" s="245"/>
      <c r="M41" s="246"/>
      <c r="N41" s="239"/>
      <c r="O41" s="246"/>
      <c r="P41" s="246"/>
      <c r="Q41" s="246"/>
      <c r="R41" s="240"/>
      <c r="S41" s="240"/>
    </row>
    <row r="42" spans="1:19" x14ac:dyDescent="0.25">
      <c r="A42" s="237"/>
      <c r="B42" s="584"/>
      <c r="C42" s="249"/>
      <c r="D42" s="250"/>
      <c r="E42" s="241"/>
      <c r="F42" s="582"/>
      <c r="L42" s="245"/>
      <c r="M42" s="246"/>
      <c r="N42" s="239"/>
      <c r="O42" s="246"/>
      <c r="P42" s="246"/>
      <c r="Q42" s="246"/>
      <c r="R42" s="240"/>
      <c r="S42" s="240"/>
    </row>
    <row r="43" spans="1:19" x14ac:dyDescent="0.25">
      <c r="D43" s="250"/>
      <c r="E43" s="241"/>
      <c r="L43" s="245"/>
      <c r="M43" s="246"/>
      <c r="N43" s="239"/>
      <c r="O43" s="246"/>
      <c r="P43" s="246"/>
      <c r="Q43" s="246"/>
      <c r="R43" s="240"/>
      <c r="S43" s="240"/>
    </row>
    <row r="44" spans="1:19" x14ac:dyDescent="0.25">
      <c r="A44" s="237"/>
      <c r="B44" s="582"/>
      <c r="C44" s="293"/>
      <c r="D44" s="250"/>
      <c r="E44" s="241"/>
      <c r="F44" s="582"/>
      <c r="G44" s="582"/>
      <c r="L44" s="245"/>
      <c r="M44" s="246"/>
      <c r="N44" s="239"/>
      <c r="O44" s="246"/>
      <c r="P44" s="246"/>
      <c r="Q44" s="246"/>
      <c r="R44" s="240"/>
      <c r="S44" s="240"/>
    </row>
    <row r="45" spans="1:19" x14ac:dyDescent="0.25">
      <c r="D45" s="250"/>
      <c r="E45" s="241"/>
      <c r="L45" s="245"/>
      <c r="M45" s="246"/>
      <c r="N45" s="239"/>
      <c r="O45" s="246"/>
      <c r="P45" s="246"/>
      <c r="Q45" s="246"/>
      <c r="R45" s="240"/>
      <c r="S45" s="240"/>
    </row>
    <row r="46" spans="1:19" x14ac:dyDescent="0.25">
      <c r="D46" s="250"/>
      <c r="E46" s="241"/>
      <c r="L46" s="245"/>
      <c r="M46" s="246"/>
      <c r="N46" s="239"/>
      <c r="O46" s="246"/>
      <c r="P46" s="246"/>
      <c r="Q46" s="246"/>
      <c r="R46" s="240"/>
      <c r="S46" s="240"/>
    </row>
    <row r="47" spans="1:19" ht="15.75" thickBot="1" x14ac:dyDescent="0.3">
      <c r="A47" s="237" t="s">
        <v>1873</v>
      </c>
      <c r="B47" s="237"/>
      <c r="D47" s="260">
        <f>SUM(D27:D41)</f>
        <v>2372.4999999999995</v>
      </c>
      <c r="E47" s="241"/>
      <c r="L47" s="245"/>
      <c r="M47" s="246"/>
      <c r="N47" s="239"/>
      <c r="O47" s="246"/>
      <c r="P47" s="246"/>
      <c r="Q47" s="246"/>
      <c r="R47" s="240"/>
      <c r="S47" s="240"/>
    </row>
    <row r="48" spans="1:19" ht="15.75" thickTop="1" x14ac:dyDescent="0.25">
      <c r="D48" s="250"/>
      <c r="E48" s="241"/>
      <c r="L48" s="245"/>
      <c r="M48" s="246"/>
      <c r="N48" s="239"/>
      <c r="O48" s="246"/>
      <c r="P48" s="246"/>
      <c r="Q48" s="246"/>
      <c r="R48" s="240"/>
      <c r="S48" s="240"/>
    </row>
    <row r="49" spans="1:19" x14ac:dyDescent="0.25">
      <c r="E49" s="241"/>
      <c r="L49" s="245"/>
      <c r="M49" s="246"/>
      <c r="N49" s="239"/>
      <c r="O49" s="246"/>
      <c r="P49" s="246"/>
      <c r="Q49" s="246"/>
      <c r="R49" s="240"/>
      <c r="S49" s="240"/>
    </row>
    <row r="50" spans="1:19" x14ac:dyDescent="0.25">
      <c r="L50" s="245"/>
      <c r="M50" s="246"/>
      <c r="N50" s="239"/>
      <c r="O50" s="246"/>
      <c r="P50" s="246"/>
      <c r="Q50" s="246"/>
      <c r="R50" s="240"/>
      <c r="S50" s="240"/>
    </row>
    <row r="52" spans="1:19" x14ac:dyDescent="0.25">
      <c r="A52" s="261"/>
      <c r="C52" s="262"/>
      <c r="D52" s="261"/>
    </row>
    <row r="53" spans="1:19" x14ac:dyDescent="0.25">
      <c r="A53" s="233" t="s">
        <v>1874</v>
      </c>
      <c r="C53" s="233" t="s">
        <v>1102</v>
      </c>
      <c r="L53" s="245"/>
      <c r="M53" s="246"/>
      <c r="N53" s="239"/>
      <c r="O53" s="246"/>
      <c r="P53" s="246"/>
      <c r="Q53" s="246"/>
      <c r="R53" s="240"/>
      <c r="S53" s="240"/>
    </row>
    <row r="54" spans="1:19" x14ac:dyDescent="0.25">
      <c r="L54" s="245"/>
      <c r="M54" s="246"/>
      <c r="N54" s="239"/>
      <c r="O54" s="246"/>
      <c r="P54" s="246"/>
      <c r="Q54" s="246"/>
      <c r="R54" s="240"/>
      <c r="S54" s="240"/>
    </row>
    <row r="55" spans="1:19" x14ac:dyDescent="0.25">
      <c r="L55" s="245"/>
      <c r="M55" s="246"/>
      <c r="N55" s="239"/>
      <c r="O55" s="246"/>
      <c r="P55" s="246"/>
      <c r="Q55" s="246"/>
      <c r="R55" s="240"/>
      <c r="S55" s="240"/>
    </row>
    <row r="56" spans="1:19" x14ac:dyDescent="0.25">
      <c r="A56" s="261"/>
      <c r="C56" s="261"/>
      <c r="D56" s="261"/>
      <c r="L56" s="245"/>
      <c r="M56" s="246"/>
      <c r="N56" s="239"/>
      <c r="O56" s="246"/>
      <c r="P56" s="246"/>
      <c r="Q56" s="246"/>
      <c r="R56" s="240"/>
      <c r="S56" s="240"/>
    </row>
    <row r="57" spans="1:19" ht="14.25" customHeight="1" x14ac:dyDescent="0.25">
      <c r="A57" s="233" t="s">
        <v>1875</v>
      </c>
      <c r="C57" s="233" t="s">
        <v>1102</v>
      </c>
      <c r="L57" s="245"/>
      <c r="M57" s="246"/>
      <c r="N57" s="239"/>
      <c r="O57" s="246"/>
      <c r="P57" s="246"/>
      <c r="Q57" s="246"/>
      <c r="R57" s="240"/>
      <c r="S57" s="240"/>
    </row>
  </sheetData>
  <mergeCells count="1">
    <mergeCell ref="A10:C10"/>
  </mergeCells>
  <pageMargins left="0.51" right="0.47" top="0.39370078740157483" bottom="0.74803149606299213" header="0.31496062992125984" footer="0.31496062992125984"/>
  <pageSetup paperSize="9" scale="66" orientation="portrait" r:id="rId1"/>
  <headerFooter>
    <oddFooter>&amp;L&amp;8&amp;Z&amp;F&amp;A&amp;R&amp;8&amp;D&amp;T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TermInfo xmlns="http://schemas.microsoft.com/office/infopath/2007/PartnerControls">
          <TermName xmlns="http://schemas.microsoft.com/office/infopath/2007/PartnerControls">October</TermName>
          <TermId xmlns="http://schemas.microsoft.com/office/infopath/2007/PartnerControls">7266efd7-deb1-4462-a2b9-16a5fbb7db1c</TermId>
        </TermInfo>
      </Term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2953</Value>
      <Value>71</Value>
      <Value>141</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FY24/25</TermName>
          <TermId xmlns="http://schemas.microsoft.com/office/infopath/2007/PartnerControls">6e1e1fc5-466d-438b-951b-7731cc73f5e5</TermId>
        </TermInfo>
      </Terms>
    </C3FinancialYearNote>
    <lcf76f155ced4ddcb4097134ff3c332f xmlns="c961e2dd-11b9-4991-837f-52438ca1ff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20" ma:contentTypeDescription="Create a new Excel Spreadsheet" ma:contentTypeScope="" ma:versionID="85bb22313ec79119c0ad9dd603b13892">
  <xsd:schema xmlns:xsd="http://www.w3.org/2001/XMLSchema" xmlns:xs="http://www.w3.org/2001/XMLSchema" xmlns:p="http://schemas.microsoft.com/office/2006/metadata/properties" xmlns:ns2="f29a2f10-a5db-4e09-b9c5-62a791749201" xmlns:ns3="c961e2dd-11b9-4991-837f-52438ca1ff01" targetNamespace="http://schemas.microsoft.com/office/2006/metadata/properties" ma:root="true" ma:fieldsID="72a8b883a9a8d699c0ea4f01316a68ba" ns2:_="" ns3:_="">
    <xsd:import namespace="f29a2f10-a5db-4e09-b9c5-62a791749201"/>
    <xsd:import namespace="c961e2dd-11b9-4991-837f-52438ca1ff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2953;#FY24/25|6e1e1fc5-466d-438b-951b-7731cc73f5e5"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61e2dd-11b9-4991-837f-52438ca1ff01" elementFormDefault="qualified">
    <xsd:import namespace="http://schemas.microsoft.com/office/2006/documentManagement/types"/>
    <xsd:import namespace="http://schemas.microsoft.com/office/infopath/2007/PartnerControls"/>
    <xsd:element name="lcf76f155ced4ddcb4097134ff3c332f" ma:index="2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c961e2dd-11b9-4991-837f-52438ca1ff01"/>
    <ds:schemaRef ds:uri="http://purl.org/dc/elements/1.1/"/>
    <ds:schemaRef ds:uri="http://schemas.microsoft.com/office/2006/documentManagement/types"/>
    <ds:schemaRef ds:uri="f29a2f10-a5db-4e09-b9c5-62a791749201"/>
    <ds:schemaRef ds:uri="http://purl.org/dc/dcmitype/"/>
  </ds:schemaRefs>
</ds:datastoreItem>
</file>

<file path=customXml/itemProps2.xml><?xml version="1.0" encoding="utf-8"?>
<ds:datastoreItem xmlns:ds="http://schemas.openxmlformats.org/officeDocument/2006/customXml" ds:itemID="{CDD62462-AF7C-498E-9E6B-7917820AA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c961e2dd-11b9-4991-837f-52438ca1f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18</vt:i4>
      </vt:variant>
    </vt:vector>
  </HeadingPairs>
  <TitlesOfParts>
    <vt:vector size="77" baseType="lpstr">
      <vt:lpstr>Guidance for agencies</vt:lpstr>
      <vt:lpstr>Summary and sign-off</vt:lpstr>
      <vt:lpstr>Travel</vt:lpstr>
      <vt:lpstr>Hospitality</vt:lpstr>
      <vt:lpstr>All other expenses</vt:lpstr>
      <vt:lpstr>Gifts and benefits</vt:lpstr>
      <vt:lpstr>Guidance for agencies </vt:lpstr>
      <vt:lpstr>Summary and sign-off </vt:lpstr>
      <vt:lpstr>Travels</vt:lpstr>
      <vt:lpstr>Hospitality </vt:lpstr>
      <vt:lpstr>All other expenses </vt:lpstr>
      <vt:lpstr>Gifts and benefits </vt:lpstr>
      <vt:lpstr>Reconciliation Nov-Mar 20</vt:lpstr>
      <vt:lpstr>Reconciliation Apr-Jun 20</vt:lpstr>
      <vt:lpstr>GL Jul-Sep 20</vt:lpstr>
      <vt:lpstr>GL Apr-Jun 21</vt:lpstr>
      <vt:lpstr>GL Dec 20-Mar 21</vt:lpstr>
      <vt:lpstr>Orbit Dec 20-Mar 21</vt:lpstr>
      <vt:lpstr>P-Card Jul-Sep 20</vt:lpstr>
      <vt:lpstr>GL Apr-Jun 20</vt:lpstr>
      <vt:lpstr>GL Nov-Mar 20</vt:lpstr>
      <vt:lpstr>Accredo GL Jul-Oct 19</vt:lpstr>
      <vt:lpstr>Orbit May-Jun 19</vt:lpstr>
      <vt:lpstr>Orbit Jul-Oct 19</vt:lpstr>
      <vt:lpstr>Taxicharge Jul-Sep 19</vt:lpstr>
      <vt:lpstr>Vodafone Jul-Oct 19</vt:lpstr>
      <vt:lpstr>P-Card Jan-Apr 19</vt:lpstr>
      <vt:lpstr>Orbit Nov-Mar 20</vt:lpstr>
      <vt:lpstr>Taxicharge Nov-Mar 20</vt:lpstr>
      <vt:lpstr>P-Card Jul-Oct 19</vt:lpstr>
      <vt:lpstr>P-Card Oct-Mar 20</vt:lpstr>
      <vt:lpstr>Orbit April 20</vt:lpstr>
      <vt:lpstr>Taxicharge transaction Jul-Sep </vt:lpstr>
      <vt:lpstr>P-Card Mar-Jun 20</vt:lpstr>
      <vt:lpstr>Vodafone Nov-Mar 20</vt:lpstr>
      <vt:lpstr>Trip to AKL 4 Jul</vt:lpstr>
      <vt:lpstr>Trip to AKL 6 Aug</vt:lpstr>
      <vt:lpstr>Trip to AKL 25 Aug</vt:lpstr>
      <vt:lpstr>Trip to JPY 16 Sep</vt:lpstr>
      <vt:lpstr>Vodafone Apr-Jun 20</vt:lpstr>
      <vt:lpstr>Vodafone Jul 20</vt:lpstr>
      <vt:lpstr>Vodafone Aug 20</vt:lpstr>
      <vt:lpstr>Vodafone Sep 20</vt:lpstr>
      <vt:lpstr>Trip to AKL 18 Oct</vt:lpstr>
      <vt:lpstr>Trip to CGN 10 Jan</vt:lpstr>
      <vt:lpstr>GL Jul-Nov 21</vt:lpstr>
      <vt:lpstr>GL Dec-Feb 22</vt:lpstr>
      <vt:lpstr>GL Mar 22</vt:lpstr>
      <vt:lpstr>Orbit Jul-Nov 2021</vt:lpstr>
      <vt:lpstr>Orbit Dec-Mar 22</vt:lpstr>
      <vt:lpstr>P-Card Jul-Nov 21</vt:lpstr>
      <vt:lpstr>P-Card Dec-Mar 22</vt:lpstr>
      <vt:lpstr>P-Card Jul-Oct 22</vt:lpstr>
      <vt:lpstr>Vodafone Dec-Mar22</vt:lpstr>
      <vt:lpstr>Trip to AKL 11 Nov 20</vt:lpstr>
      <vt:lpstr>Trip to AKL 4 Mar 21</vt:lpstr>
      <vt:lpstr>Trip AKL 15 Sep 21</vt:lpstr>
      <vt:lpstr>Trip HLZ 9 Nov 21</vt:lpstr>
      <vt:lpstr>Trip to VAN 20 Mar</vt:lpstr>
      <vt:lpstr>'All other expenses'!Print_Area</vt:lpstr>
      <vt:lpstr>'All other expenses '!Print_Area</vt:lpstr>
      <vt:lpstr>'Gifts and benefits'!Print_Area</vt:lpstr>
      <vt:lpstr>'Gifts and benefits '!Print_Area</vt:lpstr>
      <vt:lpstr>'Guidance for agencies'!Print_Area</vt:lpstr>
      <vt:lpstr>'Guidance for agencies '!Print_Area</vt:lpstr>
      <vt:lpstr>Hospitality!Print_Area</vt:lpstr>
      <vt:lpstr>'Hospitality '!Print_Area</vt:lpstr>
      <vt:lpstr>'Summary and sign-off'!Print_Area</vt:lpstr>
      <vt:lpstr>'Summary and sign-off '!Print_Area</vt:lpstr>
      <vt:lpstr>Travel!Print_Area</vt:lpstr>
      <vt:lpstr>Travels!Print_Area</vt:lpstr>
      <vt:lpstr>'GL Apr-Jun 21'!Print_Titles</vt:lpstr>
      <vt:lpstr>'GL Dec 20-Mar 21'!Print_Titles</vt:lpstr>
      <vt:lpstr>'GL Dec-Feb 22'!Print_Titles</vt:lpstr>
      <vt:lpstr>'GL Jul-Nov 21'!Print_Titles</vt:lpstr>
      <vt:lpstr>'GL Jul-Sep 20'!Print_Titles</vt:lpstr>
      <vt:lpstr>'GL Mar 22'!Print_Titles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FY2024/25</dc:title>
  <dc:subject/>
  <dc:creator>mortensenm</dc:creator>
  <cp:keywords/>
  <dc:description>Version 7 - for review by SIT - ready 2/10/18</dc:description>
  <cp:lastModifiedBy>Lisa Joe</cp:lastModifiedBy>
  <cp:revision/>
  <dcterms:created xsi:type="dcterms:W3CDTF">2010-10-17T20:59:02Z</dcterms:created>
  <dcterms:modified xsi:type="dcterms:W3CDTF">2025-07-29T22:00:39Z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ENZGlobalRegion">
    <vt:lpwstr/>
  </property>
  <property fmtid="{D5CDD505-2E9C-101B-9397-08002B2CF9AE}" pid="8" name="TaxKeyword">
    <vt:lpwstr/>
  </property>
  <property fmtid="{D5CDD505-2E9C-101B-9397-08002B2CF9AE}" pid="9" name="ENZMonth">
    <vt:lpwstr>71;#October|7266efd7-deb1-4462-a2b9-16a5fbb7db1c</vt:lpwstr>
  </property>
  <property fmtid="{D5CDD505-2E9C-101B-9397-08002B2CF9AE}" pid="10" name="Financial Reporting Activity">
    <vt:lpwstr/>
  </property>
  <property fmtid="{D5CDD505-2E9C-101B-9397-08002B2CF9AE}" pid="11" name="ENZCountry">
    <vt:lpwstr/>
  </property>
  <property fmtid="{D5CDD505-2E9C-101B-9397-08002B2CF9AE}" pid="12" name="C3FinancialYear">
    <vt:lpwstr>2953;#FY24/25|6e1e1fc5-466d-438b-951b-7731cc73f5e5</vt:lpwstr>
  </property>
  <property fmtid="{D5CDD505-2E9C-101B-9397-08002B2CF9AE}" pid="13" name="C3Topic">
    <vt:lpwstr>141;#CE Expenses|d970ab78-8c14-4757-a5bb-a6189f86cae2</vt:lpwstr>
  </property>
  <property fmtid="{D5CDD505-2E9C-101B-9397-08002B2CF9AE}" pid="14" name="AuthorIds_UIVersion_5">
    <vt:lpwstr>62</vt:lpwstr>
  </property>
  <property fmtid="{D5CDD505-2E9C-101B-9397-08002B2CF9AE}" pid="15" name="AuthorIds_UIVersion_17">
    <vt:lpwstr>62</vt:lpwstr>
  </property>
  <property fmtid="{D5CDD505-2E9C-101B-9397-08002B2CF9AE}" pid="16" name="MediaServiceImageTags">
    <vt:lpwstr/>
  </property>
  <property fmtid="{D5CDD505-2E9C-101B-9397-08002B2CF9AE}" pid="17" name="Financial_x0020_Reporting_x0020_Activity">
    <vt:lpwstr/>
  </property>
</Properties>
</file>